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planjef2\Downloads\"/>
    </mc:Choice>
  </mc:AlternateContent>
  <bookViews>
    <workbookView xWindow="0" yWindow="0" windowWidth="28800" windowHeight="10905" firstSheet="1" activeTab="1"/>
  </bookViews>
  <sheets>
    <sheet name="Intructivo" sheetId="20" state="hidden" r:id="rId1"/>
    <sheet name="Mapa Institucional 2024"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Print_Area" localSheetId="1">'Mapa Institucional 2024'!$A$1:$AD$70</definedName>
  </definedNames>
  <calcPr calcId="162913"/>
  <pivotCaches>
    <pivotCache cacheId="2" r:id="rId21"/>
  </pivotCaches>
</workbook>
</file>

<file path=xl/calcChain.xml><?xml version="1.0" encoding="utf-8"?>
<calcChain xmlns="http://schemas.openxmlformats.org/spreadsheetml/2006/main">
  <c r="T318" i="1" l="1"/>
  <c r="Q318" i="1"/>
  <c r="T317" i="1"/>
  <c r="Q317" i="1"/>
  <c r="AB318" i="1" s="1"/>
  <c r="AA318" i="1" s="1"/>
  <c r="T316" i="1"/>
  <c r="Q316" i="1"/>
  <c r="T315" i="1"/>
  <c r="Q315" i="1"/>
  <c r="T314" i="1"/>
  <c r="Q314" i="1"/>
  <c r="T313" i="1"/>
  <c r="Q313" i="1"/>
  <c r="X314" i="1" s="1"/>
  <c r="H313" i="1"/>
  <c r="I313" i="1" s="1"/>
  <c r="T312" i="1"/>
  <c r="Q312" i="1"/>
  <c r="T311" i="1"/>
  <c r="Q311" i="1"/>
  <c r="T310" i="1"/>
  <c r="Q310" i="1"/>
  <c r="T309" i="1"/>
  <c r="Q309" i="1"/>
  <c r="X309" i="1" s="1"/>
  <c r="Z309" i="1" s="1"/>
  <c r="T307" i="1"/>
  <c r="Q307" i="1"/>
  <c r="H307" i="1"/>
  <c r="I307" i="1" s="1"/>
  <c r="T306" i="1"/>
  <c r="Q306" i="1"/>
  <c r="T305" i="1"/>
  <c r="Q305" i="1"/>
  <c r="X306" i="1" s="1"/>
  <c r="T304" i="1"/>
  <c r="Q304" i="1"/>
  <c r="T303" i="1"/>
  <c r="Q303" i="1"/>
  <c r="T301" i="1"/>
  <c r="Q301" i="1"/>
  <c r="X302" i="1" s="1"/>
  <c r="H301" i="1"/>
  <c r="I301" i="1" s="1"/>
  <c r="K316" i="1"/>
  <c r="K312" i="1"/>
  <c r="K318" i="1"/>
  <c r="K315" i="1"/>
  <c r="K302" i="1"/>
  <c r="K317" i="1"/>
  <c r="K314" i="1"/>
  <c r="K304" i="1"/>
  <c r="K309" i="1"/>
  <c r="K305" i="1"/>
  <c r="K310" i="1"/>
  <c r="K306" i="1"/>
  <c r="K303" i="1"/>
  <c r="K308" i="1"/>
  <c r="K311" i="1"/>
  <c r="X317" i="1" l="1"/>
  <c r="Z317" i="1" s="1"/>
  <c r="X304" i="1"/>
  <c r="Z304" i="1" s="1"/>
  <c r="AB316" i="1"/>
  <c r="AA316" i="1" s="1"/>
  <c r="AB315" i="1"/>
  <c r="AA315" i="1" s="1"/>
  <c r="AB311" i="1"/>
  <c r="AA311" i="1" s="1"/>
  <c r="X316" i="1"/>
  <c r="X307" i="1"/>
  <c r="Y307" i="1" s="1"/>
  <c r="AB304" i="1"/>
  <c r="AA304" i="1" s="1"/>
  <c r="X305" i="1"/>
  <c r="Z305" i="1" s="1"/>
  <c r="AB310" i="1"/>
  <c r="AA310" i="1" s="1"/>
  <c r="X315" i="1"/>
  <c r="X303" i="1"/>
  <c r="AB303" i="1"/>
  <c r="AA303" i="1" s="1"/>
  <c r="AB306" i="1"/>
  <c r="AA306" i="1" s="1"/>
  <c r="AB317" i="1"/>
  <c r="AA317" i="1" s="1"/>
  <c r="Y306" i="1"/>
  <c r="Z306" i="1"/>
  <c r="Y314" i="1"/>
  <c r="Z314" i="1"/>
  <c r="Y304" i="1"/>
  <c r="AB312" i="1"/>
  <c r="AA312" i="1" s="1"/>
  <c r="X301" i="1"/>
  <c r="Y309" i="1"/>
  <c r="X310" i="1"/>
  <c r="AB314" i="1"/>
  <c r="AA314" i="1" s="1"/>
  <c r="X318" i="1"/>
  <c r="AB305" i="1"/>
  <c r="AA305" i="1" s="1"/>
  <c r="X311" i="1"/>
  <c r="X312" i="1"/>
  <c r="X308" i="1"/>
  <c r="AB309" i="1"/>
  <c r="AA309" i="1" s="1"/>
  <c r="X313" i="1"/>
  <c r="Y317" i="1" l="1"/>
  <c r="Z307" i="1"/>
  <c r="AC304" i="1"/>
  <c r="AC306" i="1"/>
  <c r="AC317" i="1"/>
  <c r="Y303" i="1"/>
  <c r="AC303" i="1" s="1"/>
  <c r="Z303" i="1"/>
  <c r="Y305" i="1"/>
  <c r="AC305" i="1" s="1"/>
  <c r="Z315" i="1"/>
  <c r="Y315" i="1"/>
  <c r="AC315" i="1" s="1"/>
  <c r="Z316" i="1"/>
  <c r="Y316" i="1"/>
  <c r="AC316" i="1" s="1"/>
  <c r="Z312" i="1"/>
  <c r="Y312" i="1"/>
  <c r="AC312" i="1" s="1"/>
  <c r="Z311" i="1"/>
  <c r="Y311" i="1"/>
  <c r="AC311" i="1" s="1"/>
  <c r="Z310" i="1"/>
  <c r="Y310" i="1"/>
  <c r="AC310" i="1" s="1"/>
  <c r="Z313" i="1"/>
  <c r="Y313" i="1"/>
  <c r="AC309" i="1"/>
  <c r="Z318" i="1"/>
  <c r="Y318" i="1"/>
  <c r="AC318" i="1" s="1"/>
  <c r="Z301" i="1"/>
  <c r="Y301" i="1"/>
  <c r="AC314" i="1"/>
  <c r="K313" i="1" l="1"/>
  <c r="L313" i="1" s="1"/>
  <c r="K301" i="1"/>
  <c r="L301" i="1" s="1"/>
  <c r="K307" i="1"/>
  <c r="L307" i="1" s="1"/>
  <c r="N307" i="1" l="1"/>
  <c r="M307" i="1"/>
  <c r="AB307" i="1" s="1"/>
  <c r="AA307" i="1" s="1"/>
  <c r="AC307" i="1" s="1"/>
  <c r="M301" i="1"/>
  <c r="AB301" i="1" s="1"/>
  <c r="AA301" i="1" s="1"/>
  <c r="AC301" i="1" s="1"/>
  <c r="N301" i="1"/>
  <c r="M313" i="1"/>
  <c r="AB313" i="1" s="1"/>
  <c r="AA313" i="1" s="1"/>
  <c r="AC313" i="1" s="1"/>
  <c r="N313" i="1"/>
  <c r="T292" i="1" l="1"/>
  <c r="Q292" i="1"/>
  <c r="T291" i="1"/>
  <c r="Q291" i="1"/>
  <c r="T290" i="1"/>
  <c r="Q290" i="1"/>
  <c r="T289" i="1"/>
  <c r="Q289" i="1"/>
  <c r="Q287" i="1"/>
  <c r="H287" i="1"/>
  <c r="I287" i="1" s="1"/>
  <c r="K289" i="1"/>
  <c r="K292" i="1"/>
  <c r="K288" i="1"/>
  <c r="K291" i="1"/>
  <c r="K290" i="1"/>
  <c r="AB291" i="1" l="1"/>
  <c r="AA291" i="1" s="1"/>
  <c r="AB292" i="1"/>
  <c r="AA292" i="1" s="1"/>
  <c r="X287" i="1"/>
  <c r="Z287" i="1" s="1"/>
  <c r="X290" i="1"/>
  <c r="Z290" i="1" s="1"/>
  <c r="X289" i="1"/>
  <c r="Y289" i="1" s="1"/>
  <c r="AB290" i="1"/>
  <c r="AA290" i="1" s="1"/>
  <c r="X291" i="1"/>
  <c r="X292" i="1"/>
  <c r="AB289" i="1"/>
  <c r="AA289" i="1" s="1"/>
  <c r="X288" i="1"/>
  <c r="Y287" i="1" l="1"/>
  <c r="AC289" i="1"/>
  <c r="Y290" i="1"/>
  <c r="AC290" i="1" s="1"/>
  <c r="Z289" i="1"/>
  <c r="Z292" i="1"/>
  <c r="Y292" i="1"/>
  <c r="AC292" i="1" s="1"/>
  <c r="Z291" i="1"/>
  <c r="Y291" i="1"/>
  <c r="AC291" i="1" s="1"/>
  <c r="K287" i="1" l="1"/>
  <c r="L287" i="1" s="1"/>
  <c r="M287" i="1" l="1"/>
  <c r="AB287" i="1" s="1"/>
  <c r="AA287" i="1" s="1"/>
  <c r="AC287" i="1" s="1"/>
  <c r="N287" i="1"/>
  <c r="Q276" i="1" l="1"/>
  <c r="H276" i="1"/>
  <c r="I276" i="1" s="1"/>
  <c r="K277" i="1"/>
  <c r="X276" i="1" l="1"/>
  <c r="Z276" i="1" s="1"/>
  <c r="X277" i="1"/>
  <c r="Y276" i="1" l="1"/>
  <c r="K276" i="1" l="1"/>
  <c r="L276" i="1" s="1"/>
  <c r="M276" i="1" l="1"/>
  <c r="AB276" i="1" s="1"/>
  <c r="AA276" i="1" s="1"/>
  <c r="AC276" i="1" s="1"/>
  <c r="N276" i="1"/>
  <c r="T267" i="1" l="1"/>
  <c r="Q267" i="1"/>
  <c r="T266" i="1"/>
  <c r="Q266" i="1"/>
  <c r="T265" i="1"/>
  <c r="Q265" i="1"/>
  <c r="T264" i="1"/>
  <c r="Q264" i="1"/>
  <c r="T263" i="1"/>
  <c r="Q263" i="1"/>
  <c r="T262" i="1"/>
  <c r="Q262" i="1"/>
  <c r="X263" i="1" s="1"/>
  <c r="H262" i="1"/>
  <c r="I262" i="1" s="1"/>
  <c r="T261" i="1"/>
  <c r="Q261" i="1"/>
  <c r="T260" i="1"/>
  <c r="Q260" i="1"/>
  <c r="T259" i="1"/>
  <c r="Q259" i="1"/>
  <c r="T258" i="1"/>
  <c r="Q258" i="1"/>
  <c r="T256" i="1"/>
  <c r="Q256" i="1"/>
  <c r="H256" i="1"/>
  <c r="T255" i="1"/>
  <c r="Q255" i="1"/>
  <c r="T254" i="1"/>
  <c r="Q254" i="1"/>
  <c r="X255" i="1" s="1"/>
  <c r="T253" i="1"/>
  <c r="Q253" i="1"/>
  <c r="T252" i="1"/>
  <c r="Q252" i="1"/>
  <c r="T250" i="1"/>
  <c r="Q250" i="1"/>
  <c r="H250" i="1"/>
  <c r="I250" i="1" s="1"/>
  <c r="T249" i="1"/>
  <c r="Q249" i="1"/>
  <c r="T248" i="1"/>
  <c r="Q248" i="1"/>
  <c r="T247" i="1"/>
  <c r="Q247" i="1"/>
  <c r="T246" i="1"/>
  <c r="Q246" i="1"/>
  <c r="T244" i="1"/>
  <c r="Q244" i="1"/>
  <c r="H244" i="1"/>
  <c r="T243" i="1"/>
  <c r="Q243" i="1"/>
  <c r="T242" i="1"/>
  <c r="Q242" i="1"/>
  <c r="T241" i="1"/>
  <c r="Q241" i="1"/>
  <c r="T240" i="1"/>
  <c r="Q240" i="1"/>
  <c r="X240" i="1" s="1"/>
  <c r="Y240" i="1" s="1"/>
  <c r="T238" i="1"/>
  <c r="Q238" i="1"/>
  <c r="H238" i="1"/>
  <c r="I238" i="1" s="1"/>
  <c r="K267" i="1"/>
  <c r="X247" i="1" l="1"/>
  <c r="X253" i="1"/>
  <c r="Y253" i="1" s="1"/>
  <c r="X259" i="1"/>
  <c r="X249" i="1"/>
  <c r="AB266" i="1"/>
  <c r="AA266" i="1" s="1"/>
  <c r="X261" i="1"/>
  <c r="AB267" i="1"/>
  <c r="AA267" i="1" s="1"/>
  <c r="X243" i="1"/>
  <c r="X250" i="1"/>
  <c r="X260" i="1"/>
  <c r="X248" i="1"/>
  <c r="AB241" i="1"/>
  <c r="AA241" i="1" s="1"/>
  <c r="AB254" i="1"/>
  <c r="AA254" i="1" s="1"/>
  <c r="AB253" i="1"/>
  <c r="AA253" i="1" s="1"/>
  <c r="AB259" i="1"/>
  <c r="AA259" i="1" s="1"/>
  <c r="AB248" i="1"/>
  <c r="AA248" i="1" s="1"/>
  <c r="AB265" i="1"/>
  <c r="AA265" i="1" s="1"/>
  <c r="X242" i="1"/>
  <c r="Z242" i="1" s="1"/>
  <c r="K245" i="1"/>
  <c r="K254" i="1"/>
  <c r="K257" i="1"/>
  <c r="K246" i="1"/>
  <c r="K242" i="1"/>
  <c r="Y261" i="1" l="1"/>
  <c r="Z261" i="1"/>
  <c r="Y249" i="1"/>
  <c r="Z249" i="1"/>
  <c r="X264" i="1"/>
  <c r="Z240" i="1"/>
  <c r="X252" i="1"/>
  <c r="AB260" i="1"/>
  <c r="AA260" i="1" s="1"/>
  <c r="AB264" i="1"/>
  <c r="AA264" i="1" s="1"/>
  <c r="X266" i="1"/>
  <c r="Y266" i="1" s="1"/>
  <c r="AB243" i="1"/>
  <c r="AA243" i="1" s="1"/>
  <c r="X238" i="1"/>
  <c r="AB240" i="1"/>
  <c r="AA240" i="1" s="1"/>
  <c r="AC240" i="1" s="1"/>
  <c r="AB247" i="1"/>
  <c r="AA247" i="1" s="1"/>
  <c r="X254" i="1"/>
  <c r="Z254" i="1" s="1"/>
  <c r="AB242" i="1"/>
  <c r="AA242" i="1" s="1"/>
  <c r="AB249" i="1"/>
  <c r="AA249" i="1" s="1"/>
  <c r="AB255" i="1"/>
  <c r="AA255" i="1" s="1"/>
  <c r="AB263" i="1"/>
  <c r="AA263" i="1" s="1"/>
  <c r="X265" i="1"/>
  <c r="X267" i="1"/>
  <c r="Z267" i="1" s="1"/>
  <c r="AB252" i="1"/>
  <c r="AA252" i="1" s="1"/>
  <c r="X241" i="1"/>
  <c r="Z241" i="1" s="1"/>
  <c r="AB261" i="1"/>
  <c r="AA261" i="1" s="1"/>
  <c r="K241" i="1"/>
  <c r="K247" i="1"/>
  <c r="K253" i="1"/>
  <c r="K266" i="1"/>
  <c r="AC249" i="1" l="1"/>
  <c r="Z252" i="1"/>
  <c r="Y252" i="1"/>
  <c r="AC252" i="1" s="1"/>
  <c r="Y264" i="1"/>
  <c r="Z264" i="1"/>
  <c r="Z265" i="1"/>
  <c r="Y265" i="1"/>
  <c r="K252" i="1"/>
  <c r="K243" i="1"/>
  <c r="K263" i="1"/>
  <c r="K251" i="1"/>
  <c r="K265" i="1"/>
  <c r="K259" i="1"/>
  <c r="K239" i="1"/>
  <c r="K248" i="1"/>
  <c r="K255" i="1"/>
  <c r="K264" i="1"/>
  <c r="K260" i="1"/>
  <c r="K249" i="1"/>
  <c r="K240" i="1"/>
  <c r="K261" i="1"/>
  <c r="Z250" i="1" l="1"/>
  <c r="Y250" i="1"/>
  <c r="AC265" i="1"/>
  <c r="AC253" i="1"/>
  <c r="AC264" i="1"/>
  <c r="Z247" i="1"/>
  <c r="Y247" i="1"/>
  <c r="AC247" i="1" s="1"/>
  <c r="Y263" i="1"/>
  <c r="AC263" i="1" s="1"/>
  <c r="Z263" i="1"/>
  <c r="Y248" i="1"/>
  <c r="AC248" i="1" s="1"/>
  <c r="Z248" i="1"/>
  <c r="Z255" i="1"/>
  <c r="Y255" i="1"/>
  <c r="AC255" i="1" s="1"/>
  <c r="Z259" i="1"/>
  <c r="Y259" i="1"/>
  <c r="AC259" i="1" s="1"/>
  <c r="AC266" i="1"/>
  <c r="Z243" i="1"/>
  <c r="Y243" i="1"/>
  <c r="AC243" i="1" s="1"/>
  <c r="Y238" i="1"/>
  <c r="Z238" i="1"/>
  <c r="Y260" i="1"/>
  <c r="AC260" i="1" s="1"/>
  <c r="Z260" i="1"/>
  <c r="AC261" i="1"/>
  <c r="X245" i="1"/>
  <c r="AB246" i="1"/>
  <c r="AA246" i="1" s="1"/>
  <c r="X257" i="1"/>
  <c r="AB258" i="1"/>
  <c r="AA258" i="1" s="1"/>
  <c r="Y241" i="1"/>
  <c r="AC241" i="1" s="1"/>
  <c r="I244" i="1"/>
  <c r="X244" i="1" s="1"/>
  <c r="I256" i="1"/>
  <c r="X256" i="1" s="1"/>
  <c r="Y242" i="1"/>
  <c r="AC242" i="1" s="1"/>
  <c r="Z253" i="1"/>
  <c r="Y254" i="1"/>
  <c r="AC254" i="1" s="1"/>
  <c r="Z266" i="1"/>
  <c r="Y267" i="1"/>
  <c r="AC267" i="1" s="1"/>
  <c r="X239" i="1"/>
  <c r="X246" i="1"/>
  <c r="X251" i="1"/>
  <c r="X258" i="1"/>
  <c r="X262" i="1"/>
  <c r="K258" i="1"/>
  <c r="Z262" i="1" l="1"/>
  <c r="Y262" i="1"/>
  <c r="Z256" i="1"/>
  <c r="Y256" i="1"/>
  <c r="Z258" i="1"/>
  <c r="Y258" i="1"/>
  <c r="AC258" i="1" s="1"/>
  <c r="Z246" i="1"/>
  <c r="Y246" i="1"/>
  <c r="AC246" i="1" s="1"/>
  <c r="Y244" i="1"/>
  <c r="Z244" i="1"/>
  <c r="K262" i="1" l="1"/>
  <c r="L262" i="1" s="1"/>
  <c r="K250" i="1"/>
  <c r="L250" i="1" s="1"/>
  <c r="K256" i="1"/>
  <c r="L256" i="1" s="1"/>
  <c r="K244" i="1"/>
  <c r="L244" i="1" s="1"/>
  <c r="K238" i="1"/>
  <c r="L238" i="1" s="1"/>
  <c r="M238" i="1" l="1"/>
  <c r="AB238" i="1" s="1"/>
  <c r="AA238" i="1" s="1"/>
  <c r="AC238" i="1" s="1"/>
  <c r="N238" i="1"/>
  <c r="M244" i="1"/>
  <c r="AB244" i="1" s="1"/>
  <c r="AA244" i="1" s="1"/>
  <c r="AC244" i="1" s="1"/>
  <c r="N244" i="1"/>
  <c r="M256" i="1"/>
  <c r="AB256" i="1" s="1"/>
  <c r="AA256" i="1" s="1"/>
  <c r="AC256" i="1" s="1"/>
  <c r="N256" i="1"/>
  <c r="N250" i="1"/>
  <c r="M250" i="1"/>
  <c r="AB250" i="1" s="1"/>
  <c r="AA250" i="1" s="1"/>
  <c r="AC250" i="1" s="1"/>
  <c r="N262" i="1"/>
  <c r="M262" i="1"/>
  <c r="AB262" i="1" s="1"/>
  <c r="AA262" i="1" s="1"/>
  <c r="AC262" i="1" s="1"/>
  <c r="T229" i="1" l="1"/>
  <c r="Q229" i="1"/>
  <c r="T228" i="1"/>
  <c r="Q228" i="1"/>
  <c r="T227" i="1"/>
  <c r="Q227" i="1"/>
  <c r="T226" i="1"/>
  <c r="Q226" i="1"/>
  <c r="T225" i="1"/>
  <c r="Q225" i="1"/>
  <c r="T224" i="1"/>
  <c r="Q224" i="1"/>
  <c r="H224" i="1"/>
  <c r="I224" i="1" s="1"/>
  <c r="T223" i="1"/>
  <c r="Q223" i="1"/>
  <c r="T222" i="1"/>
  <c r="Q222" i="1"/>
  <c r="T221" i="1"/>
  <c r="Q221" i="1"/>
  <c r="T220" i="1"/>
  <c r="Q220" i="1"/>
  <c r="T219" i="1"/>
  <c r="Q219" i="1"/>
  <c r="T218" i="1"/>
  <c r="Q218" i="1"/>
  <c r="H218" i="1"/>
  <c r="I218" i="1" s="1"/>
  <c r="T217" i="1"/>
  <c r="Q217" i="1"/>
  <c r="T216" i="1"/>
  <c r="Q216" i="1"/>
  <c r="T215" i="1"/>
  <c r="Q215" i="1"/>
  <c r="T214" i="1"/>
  <c r="Q214" i="1"/>
  <c r="T212" i="1"/>
  <c r="Q212" i="1"/>
  <c r="H212" i="1"/>
  <c r="T211" i="1"/>
  <c r="Q211" i="1"/>
  <c r="T210" i="1"/>
  <c r="Q210" i="1"/>
  <c r="T209" i="1"/>
  <c r="Q209" i="1"/>
  <c r="T208" i="1"/>
  <c r="Q208" i="1"/>
  <c r="T207" i="1"/>
  <c r="Q207" i="1"/>
  <c r="T206" i="1"/>
  <c r="Q206" i="1"/>
  <c r="H206" i="1"/>
  <c r="I206" i="1" s="1"/>
  <c r="T205" i="1"/>
  <c r="Q205" i="1"/>
  <c r="T204" i="1"/>
  <c r="Q204" i="1"/>
  <c r="T203" i="1"/>
  <c r="Q203" i="1"/>
  <c r="T202" i="1"/>
  <c r="Q202" i="1"/>
  <c r="T200" i="1"/>
  <c r="Q200" i="1"/>
  <c r="H200" i="1"/>
  <c r="I200" i="1" s="1"/>
  <c r="K214" i="1"/>
  <c r="K211" i="1"/>
  <c r="K228" i="1"/>
  <c r="K210" i="1"/>
  <c r="K208" i="1"/>
  <c r="K213" i="1"/>
  <c r="AB229" i="1" l="1"/>
  <c r="AA229" i="1" s="1"/>
  <c r="AB217" i="1"/>
  <c r="AA217" i="1" s="1"/>
  <c r="X209" i="1"/>
  <c r="Z209" i="1" s="1"/>
  <c r="AB222" i="1"/>
  <c r="AA222" i="1" s="1"/>
  <c r="AB215" i="1"/>
  <c r="AA215" i="1" s="1"/>
  <c r="X205" i="1"/>
  <c r="X208" i="1"/>
  <c r="AB220" i="1"/>
  <c r="AA220" i="1" s="1"/>
  <c r="AB227" i="1"/>
  <c r="AA227" i="1" s="1"/>
  <c r="AB223" i="1"/>
  <c r="AA223" i="1" s="1"/>
  <c r="X221" i="1"/>
  <c r="AB203" i="1"/>
  <c r="AA203" i="1" s="1"/>
  <c r="AB209" i="1"/>
  <c r="AA209" i="1" s="1"/>
  <c r="X225" i="1"/>
  <c r="AB210" i="1"/>
  <c r="AA210" i="1" s="1"/>
  <c r="AB226" i="1"/>
  <c r="AA226" i="1" s="1"/>
  <c r="X206" i="1"/>
  <c r="X216" i="1"/>
  <c r="Z216" i="1" s="1"/>
  <c r="AB216" i="1"/>
  <c r="AA216" i="1" s="1"/>
  <c r="X217" i="1"/>
  <c r="X223" i="1"/>
  <c r="Z223" i="1" s="1"/>
  <c r="X202" i="1"/>
  <c r="Z202" i="1" s="1"/>
  <c r="AB205" i="1"/>
  <c r="AA205" i="1" s="1"/>
  <c r="X222" i="1"/>
  <c r="AB202" i="1"/>
  <c r="AA202" i="1" s="1"/>
  <c r="AB208" i="1"/>
  <c r="AA208" i="1" s="1"/>
  <c r="AB211" i="1"/>
  <c r="AA211" i="1" s="1"/>
  <c r="X226" i="1"/>
  <c r="Z226" i="1" s="1"/>
  <c r="X204" i="1"/>
  <c r="X215" i="1"/>
  <c r="Y215" i="1" s="1"/>
  <c r="X229" i="1"/>
  <c r="Z229" i="1" s="1"/>
  <c r="K222" i="1"/>
  <c r="K225" i="1"/>
  <c r="K221" i="1"/>
  <c r="K220" i="1"/>
  <c r="K205" i="1"/>
  <c r="K226" i="1"/>
  <c r="K219" i="1"/>
  <c r="K227" i="1"/>
  <c r="K217" i="1"/>
  <c r="K216" i="1"/>
  <c r="K209" i="1"/>
  <c r="K201" i="1"/>
  <c r="K215" i="1"/>
  <c r="K204" i="1"/>
  <c r="K223" i="1"/>
  <c r="K202" i="1"/>
  <c r="K207" i="1"/>
  <c r="K203" i="1"/>
  <c r="K229" i="1"/>
  <c r="Y221" i="1" l="1"/>
  <c r="Z221" i="1"/>
  <c r="Z217" i="1"/>
  <c r="Y217" i="1"/>
  <c r="AC217" i="1" s="1"/>
  <c r="Z205" i="1"/>
  <c r="Y205" i="1"/>
  <c r="AC205" i="1" s="1"/>
  <c r="Z225" i="1"/>
  <c r="Y222" i="1"/>
  <c r="AC222" i="1" s="1"/>
  <c r="Z222" i="1"/>
  <c r="X219" i="1"/>
  <c r="X218" i="1"/>
  <c r="Z208" i="1"/>
  <c r="Y208" i="1"/>
  <c r="AC208" i="1" s="1"/>
  <c r="Y204" i="1"/>
  <c r="Z204" i="1"/>
  <c r="AC215" i="1"/>
  <c r="Z206" i="1"/>
  <c r="Y206" i="1"/>
  <c r="X224" i="1"/>
  <c r="Y225" i="1" s="1"/>
  <c r="Y209" i="1"/>
  <c r="AC209" i="1" s="1"/>
  <c r="X210" i="1"/>
  <c r="I212" i="1"/>
  <c r="X212" i="1" s="1"/>
  <c r="Y223" i="1"/>
  <c r="AC223" i="1" s="1"/>
  <c r="Y226" i="1"/>
  <c r="AC226" i="1" s="1"/>
  <c r="X227" i="1"/>
  <c r="X200" i="1"/>
  <c r="AB204" i="1"/>
  <c r="AA204" i="1" s="1"/>
  <c r="X211" i="1"/>
  <c r="X214" i="1"/>
  <c r="AB221" i="1"/>
  <c r="AA221" i="1" s="1"/>
  <c r="X228" i="1"/>
  <c r="Y229" i="1"/>
  <c r="AC229" i="1" s="1"/>
  <c r="Y202" i="1"/>
  <c r="AC202" i="1" s="1"/>
  <c r="X203" i="1"/>
  <c r="Z215" i="1"/>
  <c r="Y216" i="1"/>
  <c r="AC216" i="1" s="1"/>
  <c r="X220" i="1"/>
  <c r="X207" i="1"/>
  <c r="AB214" i="1"/>
  <c r="AA214" i="1" s="1"/>
  <c r="AB228" i="1"/>
  <c r="AA228" i="1" s="1"/>
  <c r="Z212" i="1" l="1"/>
  <c r="Y212" i="1"/>
  <c r="Z214" i="1"/>
  <c r="Y214" i="1"/>
  <c r="AC214" i="1" s="1"/>
  <c r="Z211" i="1"/>
  <c r="Y211" i="1"/>
  <c r="AC211" i="1" s="1"/>
  <c r="Z210" i="1"/>
  <c r="Y210" i="1"/>
  <c r="AC210" i="1" s="1"/>
  <c r="Z218" i="1"/>
  <c r="Y218" i="1"/>
  <c r="Y207" i="1"/>
  <c r="Z207" i="1"/>
  <c r="Z200" i="1"/>
  <c r="Y200" i="1"/>
  <c r="Z219" i="1"/>
  <c r="Y219" i="1"/>
  <c r="Z228" i="1"/>
  <c r="Y228" i="1"/>
  <c r="AC228" i="1" s="1"/>
  <c r="AC221" i="1"/>
  <c r="Z220" i="1"/>
  <c r="Y220" i="1"/>
  <c r="AC220" i="1" s="1"/>
  <c r="Z227" i="1"/>
  <c r="Y227" i="1"/>
  <c r="AC227" i="1" s="1"/>
  <c r="Y224" i="1"/>
  <c r="Z224" i="1"/>
  <c r="AC204" i="1"/>
  <c r="Z203" i="1"/>
  <c r="Y203" i="1"/>
  <c r="AC203" i="1" s="1"/>
  <c r="K224" i="1" l="1"/>
  <c r="L224" i="1" s="1"/>
  <c r="K200" i="1"/>
  <c r="L200" i="1" s="1"/>
  <c r="K206" i="1"/>
  <c r="L206" i="1" s="1"/>
  <c r="K212" i="1"/>
  <c r="L212" i="1" s="1"/>
  <c r="K218" i="1"/>
  <c r="L218" i="1" s="1"/>
  <c r="M218" i="1" l="1"/>
  <c r="N218" i="1"/>
  <c r="M212" i="1"/>
  <c r="AB212" i="1" s="1"/>
  <c r="AA212" i="1" s="1"/>
  <c r="AC212" i="1" s="1"/>
  <c r="N212" i="1"/>
  <c r="M206" i="1"/>
  <c r="N206" i="1"/>
  <c r="M200" i="1"/>
  <c r="AB200" i="1" s="1"/>
  <c r="AA200" i="1" s="1"/>
  <c r="AC200" i="1" s="1"/>
  <c r="N200" i="1"/>
  <c r="M224" i="1"/>
  <c r="AB224" i="1" s="1"/>
  <c r="N224" i="1"/>
  <c r="AB225" i="1" l="1"/>
  <c r="AA225" i="1" s="1"/>
  <c r="AC225" i="1" s="1"/>
  <c r="AA224" i="1"/>
  <c r="AC224" i="1" s="1"/>
  <c r="AB206" i="1"/>
  <c r="AA206" i="1" s="1"/>
  <c r="AC206" i="1" s="1"/>
  <c r="AB207" i="1"/>
  <c r="AA207" i="1" s="1"/>
  <c r="AC207" i="1" s="1"/>
  <c r="AB219" i="1"/>
  <c r="AA219" i="1" s="1"/>
  <c r="AC219" i="1" s="1"/>
  <c r="AB218" i="1"/>
  <c r="AA218" i="1" s="1"/>
  <c r="AC218" i="1" s="1"/>
  <c r="T190" i="1" l="1"/>
  <c r="Q190" i="1"/>
  <c r="T189" i="1"/>
  <c r="Q189" i="1"/>
  <c r="AB190" i="1" s="1"/>
  <c r="AA190" i="1" s="1"/>
  <c r="T188" i="1"/>
  <c r="Q188" i="1"/>
  <c r="T187" i="1"/>
  <c r="Q187" i="1"/>
  <c r="T185" i="1"/>
  <c r="Q185" i="1"/>
  <c r="H185" i="1"/>
  <c r="I185" i="1" s="1"/>
  <c r="K190" i="1"/>
  <c r="K187" i="1"/>
  <c r="K186" i="1"/>
  <c r="K189" i="1"/>
  <c r="K188" i="1"/>
  <c r="X188" i="1" l="1"/>
  <c r="Z188" i="1" s="1"/>
  <c r="AB189" i="1"/>
  <c r="AA189" i="1" s="1"/>
  <c r="AB188" i="1"/>
  <c r="AA188" i="1" s="1"/>
  <c r="X189" i="1"/>
  <c r="Y189" i="1" s="1"/>
  <c r="X185" i="1"/>
  <c r="Z185" i="1" s="1"/>
  <c r="X187" i="1"/>
  <c r="X190" i="1"/>
  <c r="Z190" i="1" s="1"/>
  <c r="X186" i="1"/>
  <c r="AB187" i="1"/>
  <c r="AA187" i="1" s="1"/>
  <c r="AC189" i="1" l="1"/>
  <c r="Y188" i="1"/>
  <c r="AC188" i="1" s="1"/>
  <c r="Y185" i="1"/>
  <c r="Z189" i="1"/>
  <c r="Z187" i="1"/>
  <c r="Y187" i="1"/>
  <c r="AC187" i="1" s="1"/>
  <c r="Y190" i="1"/>
  <c r="AC190" i="1" s="1"/>
  <c r="K185" i="1"/>
  <c r="L185" i="1" s="1"/>
  <c r="M185" i="1" l="1"/>
  <c r="AB185" i="1" s="1"/>
  <c r="AA185" i="1" s="1"/>
  <c r="AC185" i="1" s="1"/>
  <c r="N185" i="1"/>
  <c r="T176" i="1" l="1"/>
  <c r="Q176" i="1"/>
  <c r="T175" i="1"/>
  <c r="Q175" i="1"/>
  <c r="AB176" i="1" s="1"/>
  <c r="AA176" i="1" s="1"/>
  <c r="T174" i="1"/>
  <c r="Q174" i="1"/>
  <c r="AB175" i="1" s="1"/>
  <c r="AA175" i="1" s="1"/>
  <c r="T173" i="1"/>
  <c r="Q173" i="1"/>
  <c r="X173" i="1" s="1"/>
  <c r="T171" i="1"/>
  <c r="Q171" i="1"/>
  <c r="H171" i="1"/>
  <c r="I171" i="1" s="1"/>
  <c r="T170" i="1"/>
  <c r="Q170" i="1"/>
  <c r="T169" i="1"/>
  <c r="Q169" i="1"/>
  <c r="T168" i="1"/>
  <c r="Q168" i="1"/>
  <c r="T167" i="1"/>
  <c r="Q167" i="1"/>
  <c r="AB167" i="1" s="1"/>
  <c r="AA167" i="1" s="1"/>
  <c r="T165" i="1"/>
  <c r="Q165" i="1"/>
  <c r="X166" i="1" s="1"/>
  <c r="H165" i="1"/>
  <c r="K175" i="1"/>
  <c r="K168" i="1"/>
  <c r="K174" i="1"/>
  <c r="K173" i="1"/>
  <c r="K170" i="1"/>
  <c r="K172" i="1"/>
  <c r="K167" i="1"/>
  <c r="K169" i="1"/>
  <c r="K176" i="1"/>
  <c r="K166" i="1"/>
  <c r="AB168" i="1" l="1"/>
  <c r="AA168" i="1" s="1"/>
  <c r="AB170" i="1"/>
  <c r="AA170" i="1" s="1"/>
  <c r="Z173" i="1"/>
  <c r="Y173" i="1"/>
  <c r="X174" i="1"/>
  <c r="Z174" i="1" s="1"/>
  <c r="X175" i="1"/>
  <c r="Z175" i="1" s="1"/>
  <c r="X167" i="1"/>
  <c r="Z167" i="1" s="1"/>
  <c r="X170" i="1"/>
  <c r="AB174" i="1"/>
  <c r="AA174" i="1" s="1"/>
  <c r="X169" i="1"/>
  <c r="Z169" i="1" s="1"/>
  <c r="X171" i="1"/>
  <c r="I165" i="1"/>
  <c r="X165" i="1" s="1"/>
  <c r="AB169" i="1"/>
  <c r="AA169" i="1" s="1"/>
  <c r="X176" i="1"/>
  <c r="X172" i="1"/>
  <c r="AB173" i="1"/>
  <c r="AA173" i="1" s="1"/>
  <c r="AC173" i="1" s="1"/>
  <c r="X168" i="1"/>
  <c r="Y175" i="1" l="1"/>
  <c r="AC175" i="1" s="1"/>
  <c r="Y174" i="1"/>
  <c r="AC174" i="1" s="1"/>
  <c r="Y170" i="1"/>
  <c r="AC170" i="1" s="1"/>
  <c r="Z170" i="1"/>
  <c r="Y167" i="1"/>
  <c r="AC167" i="1" s="1"/>
  <c r="Y169" i="1"/>
  <c r="AC169" i="1" s="1"/>
  <c r="Z165" i="1"/>
  <c r="Y165" i="1"/>
  <c r="Z168" i="1"/>
  <c r="Y168" i="1"/>
  <c r="AC168" i="1" s="1"/>
  <c r="Z176" i="1"/>
  <c r="Y176" i="1"/>
  <c r="AC176" i="1" s="1"/>
  <c r="Z171" i="1"/>
  <c r="Y171" i="1"/>
  <c r="K171" i="1" l="1"/>
  <c r="L171" i="1" s="1"/>
  <c r="K165" i="1"/>
  <c r="L165" i="1" s="1"/>
  <c r="M165" i="1" l="1"/>
  <c r="AB165" i="1" s="1"/>
  <c r="AA165" i="1" s="1"/>
  <c r="AC165" i="1" s="1"/>
  <c r="N165" i="1"/>
  <c r="N171" i="1"/>
  <c r="M171" i="1"/>
  <c r="AB171" i="1" s="1"/>
  <c r="AA171" i="1" s="1"/>
  <c r="AC171" i="1" s="1"/>
  <c r="T155" i="1" l="1"/>
  <c r="Q155" i="1"/>
  <c r="T154" i="1"/>
  <c r="Q154" i="1"/>
  <c r="T153" i="1"/>
  <c r="Q153" i="1"/>
  <c r="T152" i="1"/>
  <c r="Q152" i="1"/>
  <c r="X152" i="1" s="1"/>
  <c r="T150" i="1"/>
  <c r="Q150" i="1"/>
  <c r="H150" i="1"/>
  <c r="I150" i="1" s="1"/>
  <c r="T149" i="1"/>
  <c r="Q149" i="1"/>
  <c r="T148" i="1"/>
  <c r="Q148" i="1"/>
  <c r="T147" i="1"/>
  <c r="Q147" i="1"/>
  <c r="T146" i="1"/>
  <c r="Q146" i="1"/>
  <c r="AB146" i="1" s="1"/>
  <c r="AA146" i="1" s="1"/>
  <c r="T144" i="1"/>
  <c r="Q144" i="1"/>
  <c r="X145" i="1" s="1"/>
  <c r="G144" i="1"/>
  <c r="H144" i="1" s="1"/>
  <c r="I144" i="1" s="1"/>
  <c r="K145" i="1"/>
  <c r="K155" i="1"/>
  <c r="K147" i="1"/>
  <c r="K153" i="1"/>
  <c r="K151" i="1"/>
  <c r="K149" i="1"/>
  <c r="K152" i="1"/>
  <c r="K146" i="1"/>
  <c r="K154" i="1"/>
  <c r="K148" i="1"/>
  <c r="X155" i="1" l="1"/>
  <c r="X149" i="1"/>
  <c r="Y149" i="1" s="1"/>
  <c r="X146" i="1"/>
  <c r="Y146" i="1" s="1"/>
  <c r="AC146" i="1" s="1"/>
  <c r="AB147" i="1"/>
  <c r="AA147" i="1" s="1"/>
  <c r="AB154" i="1"/>
  <c r="AA154" i="1" s="1"/>
  <c r="AB148" i="1"/>
  <c r="AA148" i="1" s="1"/>
  <c r="X153" i="1"/>
  <c r="Z153" i="1" s="1"/>
  <c r="X150" i="1"/>
  <c r="Z150" i="1" s="1"/>
  <c r="AB155" i="1"/>
  <c r="AA155" i="1" s="1"/>
  <c r="AB149" i="1"/>
  <c r="AA149" i="1" s="1"/>
  <c r="X148" i="1"/>
  <c r="Z148" i="1" s="1"/>
  <c r="Z155" i="1"/>
  <c r="Y155" i="1"/>
  <c r="Y152" i="1"/>
  <c r="Z152" i="1"/>
  <c r="X154" i="1"/>
  <c r="X144" i="1"/>
  <c r="X151" i="1"/>
  <c r="AB152" i="1"/>
  <c r="AA152" i="1" s="1"/>
  <c r="X147" i="1"/>
  <c r="AB153" i="1"/>
  <c r="AA153" i="1" s="1"/>
  <c r="AC149" i="1" l="1"/>
  <c r="Z149" i="1"/>
  <c r="Y150" i="1"/>
  <c r="AC155" i="1"/>
  <c r="Z146" i="1"/>
  <c r="Y153" i="1"/>
  <c r="AC153" i="1" s="1"/>
  <c r="Y148" i="1"/>
  <c r="AC148" i="1" s="1"/>
  <c r="AC152" i="1"/>
  <c r="Z144" i="1"/>
  <c r="Y144" i="1"/>
  <c r="Z154" i="1"/>
  <c r="Y154" i="1"/>
  <c r="AC154" i="1" s="1"/>
  <c r="Y147" i="1"/>
  <c r="AC147" i="1" s="1"/>
  <c r="Z147" i="1"/>
  <c r="K150" i="1" l="1"/>
  <c r="L150" i="1" s="1"/>
  <c r="K144" i="1"/>
  <c r="L144" i="1" s="1"/>
  <c r="M144" i="1" l="1"/>
  <c r="AB144" i="1" s="1"/>
  <c r="AA144" i="1" s="1"/>
  <c r="AC144" i="1" s="1"/>
  <c r="N144" i="1"/>
  <c r="N150" i="1"/>
  <c r="M150" i="1"/>
  <c r="AB150" i="1" s="1"/>
  <c r="AA150" i="1" s="1"/>
  <c r="AC150" i="1" s="1"/>
  <c r="T133" i="1" l="1"/>
  <c r="Q133" i="1"/>
  <c r="T132" i="1"/>
  <c r="Q132" i="1"/>
  <c r="AB133" i="1" s="1"/>
  <c r="AA133" i="1" s="1"/>
  <c r="T131" i="1"/>
  <c r="Q131" i="1"/>
  <c r="T130" i="1"/>
  <c r="Q130" i="1"/>
  <c r="T128" i="1"/>
  <c r="Q128" i="1"/>
  <c r="X129" i="1" s="1"/>
  <c r="H128" i="1"/>
  <c r="I128" i="1" s="1"/>
  <c r="T127" i="1"/>
  <c r="Q127" i="1"/>
  <c r="T126" i="1"/>
  <c r="Q126" i="1"/>
  <c r="T125" i="1"/>
  <c r="Q125" i="1"/>
  <c r="T124" i="1"/>
  <c r="Q124" i="1"/>
  <c r="AB124" i="1" s="1"/>
  <c r="AA124" i="1" s="1"/>
  <c r="T122" i="1"/>
  <c r="Q122" i="1"/>
  <c r="X123" i="1" s="1"/>
  <c r="H122" i="1"/>
  <c r="K124" i="1"/>
  <c r="K131" i="1"/>
  <c r="K130" i="1"/>
  <c r="K127" i="1"/>
  <c r="K123" i="1"/>
  <c r="K126" i="1"/>
  <c r="K132" i="1"/>
  <c r="K125" i="1"/>
  <c r="K129" i="1"/>
  <c r="K133" i="1"/>
  <c r="AB131" i="1" l="1"/>
  <c r="AA131" i="1" s="1"/>
  <c r="X130" i="1"/>
  <c r="Z130" i="1" s="1"/>
  <c r="AB125" i="1"/>
  <c r="AA125" i="1" s="1"/>
  <c r="X127" i="1"/>
  <c r="Y127" i="1" s="1"/>
  <c r="X131" i="1"/>
  <c r="Z131" i="1" s="1"/>
  <c r="X132" i="1"/>
  <c r="X124" i="1"/>
  <c r="Z124" i="1" s="1"/>
  <c r="X126" i="1"/>
  <c r="Z126" i="1" s="1"/>
  <c r="AB130" i="1"/>
  <c r="AA130" i="1" s="1"/>
  <c r="AB132" i="1"/>
  <c r="AA132" i="1" s="1"/>
  <c r="X128" i="1"/>
  <c r="I122" i="1"/>
  <c r="X122" i="1" s="1"/>
  <c r="AB126" i="1"/>
  <c r="AA126" i="1" s="1"/>
  <c r="AB127" i="1"/>
  <c r="AA127" i="1" s="1"/>
  <c r="X133" i="1"/>
  <c r="X125" i="1"/>
  <c r="Z127" i="1" l="1"/>
  <c r="Y126" i="1"/>
  <c r="AC126" i="1" s="1"/>
  <c r="Y130" i="1"/>
  <c r="Y124" i="1"/>
  <c r="AC124" i="1" s="1"/>
  <c r="Y132" i="1"/>
  <c r="AC132" i="1" s="1"/>
  <c r="Z132" i="1"/>
  <c r="AC130" i="1"/>
  <c r="Y131" i="1"/>
  <c r="AC131" i="1" s="1"/>
  <c r="Z122" i="1"/>
  <c r="Y122" i="1"/>
  <c r="Z128" i="1"/>
  <c r="Y128" i="1"/>
  <c r="Z133" i="1"/>
  <c r="Y133" i="1"/>
  <c r="AC133" i="1" s="1"/>
  <c r="Z125" i="1"/>
  <c r="Y125" i="1"/>
  <c r="AC125" i="1" s="1"/>
  <c r="AC127" i="1"/>
  <c r="K128" i="1" l="1"/>
  <c r="L128" i="1" s="1"/>
  <c r="K122" i="1"/>
  <c r="L122" i="1" s="1"/>
  <c r="M122" i="1" l="1"/>
  <c r="AB122" i="1" s="1"/>
  <c r="AA122" i="1" s="1"/>
  <c r="AC122" i="1" s="1"/>
  <c r="N122" i="1"/>
  <c r="M128" i="1"/>
  <c r="AB128" i="1" s="1"/>
  <c r="AA128" i="1" s="1"/>
  <c r="AC128" i="1" s="1"/>
  <c r="N128" i="1"/>
  <c r="T110" i="1" l="1"/>
  <c r="T106" i="1"/>
  <c r="Q106" i="1"/>
  <c r="H106" i="1"/>
  <c r="I106" i="1" s="1"/>
  <c r="T105" i="1"/>
  <c r="Q105" i="1"/>
  <c r="X105" i="1" s="1"/>
  <c r="Z105" i="1" s="1"/>
  <c r="T104" i="1"/>
  <c r="Q104" i="1"/>
  <c r="T103" i="1"/>
  <c r="Q103" i="1"/>
  <c r="X103" i="1" s="1"/>
  <c r="Y103" i="1" s="1"/>
  <c r="T102" i="1"/>
  <c r="Q102" i="1"/>
  <c r="AB102" i="1" s="1"/>
  <c r="AA102" i="1" s="1"/>
  <c r="T99" i="1"/>
  <c r="Q99" i="1"/>
  <c r="H99" i="1"/>
  <c r="I99" i="1" s="1"/>
  <c r="T98" i="1"/>
  <c r="Q98" i="1"/>
  <c r="T97" i="1"/>
  <c r="Q97" i="1"/>
  <c r="T96" i="1"/>
  <c r="Q96" i="1"/>
  <c r="AB97" i="1" s="1"/>
  <c r="AA97" i="1" s="1"/>
  <c r="T95" i="1"/>
  <c r="Q95" i="1"/>
  <c r="T93" i="1"/>
  <c r="Q93" i="1"/>
  <c r="H93" i="1"/>
  <c r="K109" i="1"/>
  <c r="K111" i="1"/>
  <c r="K102" i="1"/>
  <c r="K113" i="1"/>
  <c r="K108" i="1"/>
  <c r="K110" i="1"/>
  <c r="K96" i="1"/>
  <c r="K101" i="1"/>
  <c r="K95" i="1"/>
  <c r="K105" i="1"/>
  <c r="K97" i="1"/>
  <c r="K94" i="1"/>
  <c r="K103" i="1"/>
  <c r="K98" i="1"/>
  <c r="K104" i="1"/>
  <c r="X110" i="1" l="1"/>
  <c r="Z110" i="1" s="1"/>
  <c r="AB98" i="1"/>
  <c r="AA98" i="1" s="1"/>
  <c r="AB96" i="1"/>
  <c r="AA96" i="1" s="1"/>
  <c r="X98" i="1"/>
  <c r="Y98" i="1" s="1"/>
  <c r="X97" i="1"/>
  <c r="Z97" i="1" s="1"/>
  <c r="AB105" i="1"/>
  <c r="AA105" i="1" s="1"/>
  <c r="Z103" i="1"/>
  <c r="X102" i="1"/>
  <c r="AB103" i="1"/>
  <c r="AA103" i="1" s="1"/>
  <c r="AC103" i="1" s="1"/>
  <c r="X106" i="1"/>
  <c r="Z106" i="1" s="1"/>
  <c r="AB104" i="1"/>
  <c r="AA104" i="1" s="1"/>
  <c r="X104" i="1"/>
  <c r="Z104" i="1" s="1"/>
  <c r="X99" i="1"/>
  <c r="Z99" i="1" s="1"/>
  <c r="I93" i="1"/>
  <c r="X93" i="1" s="1"/>
  <c r="AB95" i="1"/>
  <c r="AA95" i="1" s="1"/>
  <c r="X95" i="1"/>
  <c r="X96" i="1"/>
  <c r="Y105" i="1"/>
  <c r="Y110" i="1" l="1"/>
  <c r="AC105" i="1"/>
  <c r="AC98" i="1"/>
  <c r="Y97" i="1"/>
  <c r="AC97" i="1" s="1"/>
  <c r="Z98" i="1"/>
  <c r="Y104" i="1"/>
  <c r="AC104" i="1" s="1"/>
  <c r="Y99" i="1"/>
  <c r="Y102" i="1"/>
  <c r="AC102" i="1" s="1"/>
  <c r="Z102" i="1"/>
  <c r="Z96" i="1"/>
  <c r="Y96" i="1"/>
  <c r="AC96" i="1" s="1"/>
  <c r="Y106" i="1"/>
  <c r="Z93" i="1"/>
  <c r="Y93" i="1"/>
  <c r="Z95" i="1"/>
  <c r="Y95" i="1"/>
  <c r="AC95" i="1" s="1"/>
  <c r="K99" i="1" l="1"/>
  <c r="L99" i="1" s="1"/>
  <c r="K106" i="1"/>
  <c r="L106" i="1" s="1"/>
  <c r="K93" i="1"/>
  <c r="L93" i="1" s="1"/>
  <c r="N106" i="1" l="1"/>
  <c r="M106" i="1"/>
  <c r="M93" i="1"/>
  <c r="AB93" i="1" s="1"/>
  <c r="AA93" i="1" s="1"/>
  <c r="AC93" i="1" s="1"/>
  <c r="N93" i="1"/>
  <c r="M99" i="1"/>
  <c r="AB99" i="1" s="1"/>
  <c r="AA99" i="1" s="1"/>
  <c r="AC99" i="1" s="1"/>
  <c r="N99" i="1"/>
  <c r="AB110" i="1" l="1"/>
  <c r="AA110" i="1" s="1"/>
  <c r="AC110" i="1" s="1"/>
  <c r="AB106" i="1"/>
  <c r="AA106" i="1" s="1"/>
  <c r="AC106" i="1" s="1"/>
  <c r="T83" i="1" l="1"/>
  <c r="Q83" i="1"/>
  <c r="T82" i="1"/>
  <c r="Q82" i="1"/>
  <c r="T81" i="1"/>
  <c r="Q81" i="1"/>
  <c r="T80" i="1"/>
  <c r="Q80" i="1"/>
  <c r="X80" i="1" s="1"/>
  <c r="Y80" i="1" s="1"/>
  <c r="T78" i="1"/>
  <c r="Q78" i="1"/>
  <c r="H78" i="1"/>
  <c r="I78" i="1" s="1"/>
  <c r="K82" i="1"/>
  <c r="K83" i="1"/>
  <c r="K81" i="1"/>
  <c r="K79" i="1"/>
  <c r="K80" i="1"/>
  <c r="AB82" i="1" l="1"/>
  <c r="AA82" i="1" s="1"/>
  <c r="X82" i="1"/>
  <c r="Y82" i="1" s="1"/>
  <c r="X81" i="1"/>
  <c r="Y81" i="1" s="1"/>
  <c r="X83" i="1"/>
  <c r="Z83" i="1" s="1"/>
  <c r="Z80" i="1"/>
  <c r="X78" i="1"/>
  <c r="Z78" i="1" s="1"/>
  <c r="AB81" i="1"/>
  <c r="AA81" i="1" s="1"/>
  <c r="AB83" i="1"/>
  <c r="AA83" i="1" s="1"/>
  <c r="X79" i="1"/>
  <c r="AB80" i="1"/>
  <c r="AA80" i="1" s="1"/>
  <c r="AC80" i="1" s="1"/>
  <c r="Z82" i="1" l="1"/>
  <c r="AC82" i="1"/>
  <c r="AC81" i="1"/>
  <c r="Z81" i="1"/>
  <c r="Y83" i="1"/>
  <c r="AC83" i="1" s="1"/>
  <c r="Y78" i="1"/>
  <c r="K78" i="1"/>
  <c r="L78" i="1" s="1"/>
  <c r="N78" i="1" l="1"/>
  <c r="M78" i="1"/>
  <c r="AB78" i="1" s="1"/>
  <c r="AA78" i="1" s="1"/>
  <c r="AC78" i="1" s="1"/>
  <c r="Q15" i="1" l="1"/>
  <c r="T15" i="1"/>
  <c r="X16" i="1" l="1"/>
  <c r="T9" i="1"/>
  <c r="Q9" i="1"/>
  <c r="H9" i="1"/>
  <c r="I9" i="1" s="1"/>
  <c r="K41" i="1"/>
  <c r="K46" i="1"/>
  <c r="K29" i="1"/>
  <c r="K17" i="1"/>
  <c r="K59" i="1"/>
  <c r="K56" i="1"/>
  <c r="K24" i="1"/>
  <c r="K50" i="1"/>
  <c r="K26" i="1"/>
  <c r="K58" i="1"/>
  <c r="K19" i="1"/>
  <c r="K30" i="1"/>
  <c r="K43" i="1"/>
  <c r="K16" i="1"/>
  <c r="K42" i="1"/>
  <c r="K20" i="1"/>
  <c r="K67" i="1"/>
  <c r="K32" i="1"/>
  <c r="K62" i="1"/>
  <c r="K44" i="1"/>
  <c r="K64" i="1"/>
  <c r="K40" i="1"/>
  <c r="K66" i="1"/>
  <c r="K25" i="1"/>
  <c r="K31" i="1"/>
  <c r="K61" i="1"/>
  <c r="K55" i="1"/>
  <c r="K35" i="1"/>
  <c r="K36" i="1"/>
  <c r="K34" i="1"/>
  <c r="K37" i="1"/>
  <c r="K53" i="1"/>
  <c r="K47" i="1"/>
  <c r="K54" i="1"/>
  <c r="K22" i="1"/>
  <c r="K65" i="1"/>
  <c r="K18" i="1"/>
  <c r="K23" i="1"/>
  <c r="K52" i="1"/>
  <c r="K49" i="1"/>
  <c r="K28" i="1"/>
  <c r="K38" i="1"/>
  <c r="K60" i="1"/>
  <c r="K68" i="1"/>
  <c r="K48" i="1"/>
  <c r="F221" i="13" l="1"/>
  <c r="F211" i="13"/>
  <c r="F212" i="13"/>
  <c r="F213" i="13"/>
  <c r="F214" i="13"/>
  <c r="F215" i="13"/>
  <c r="F216" i="13"/>
  <c r="F217" i="13"/>
  <c r="F218" i="13"/>
  <c r="F219" i="13"/>
  <c r="F220" i="13"/>
  <c r="F210" i="13"/>
  <c r="K10" i="1"/>
  <c r="K14" i="1"/>
  <c r="K11" i="1"/>
  <c r="K12" i="1"/>
  <c r="B221" i="13" a="1"/>
  <c r="K13" i="1"/>
  <c r="B221" i="13" l="1"/>
  <c r="Q51" i="1"/>
  <c r="Q46" i="1"/>
  <c r="Q40"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8" i="1" l="1"/>
  <c r="Q68" i="1"/>
  <c r="T67" i="1"/>
  <c r="Q67" i="1"/>
  <c r="T66" i="1"/>
  <c r="Q66" i="1"/>
  <c r="T65" i="1"/>
  <c r="Q65" i="1"/>
  <c r="T64" i="1"/>
  <c r="Q64" i="1"/>
  <c r="T63" i="1"/>
  <c r="Q63" i="1"/>
  <c r="H63" i="1"/>
  <c r="I63" i="1" s="1"/>
  <c r="T62" i="1"/>
  <c r="Q62" i="1"/>
  <c r="T61" i="1"/>
  <c r="Q61" i="1"/>
  <c r="T60" i="1"/>
  <c r="Q60" i="1"/>
  <c r="T59" i="1"/>
  <c r="Q59" i="1"/>
  <c r="T58" i="1"/>
  <c r="Q58" i="1"/>
  <c r="T57" i="1"/>
  <c r="Q57" i="1"/>
  <c r="H57" i="1"/>
  <c r="I57" i="1" s="1"/>
  <c r="T56" i="1"/>
  <c r="Q56" i="1"/>
  <c r="T55" i="1"/>
  <c r="Q55" i="1"/>
  <c r="T54" i="1"/>
  <c r="Q54" i="1"/>
  <c r="T53" i="1"/>
  <c r="Q53" i="1"/>
  <c r="T52" i="1"/>
  <c r="Q52" i="1"/>
  <c r="AB52" i="1" s="1"/>
  <c r="T51" i="1"/>
  <c r="H51" i="1"/>
  <c r="I51" i="1" s="1"/>
  <c r="T50" i="1"/>
  <c r="Q50" i="1"/>
  <c r="T49" i="1"/>
  <c r="Q49" i="1"/>
  <c r="T48" i="1"/>
  <c r="Q48" i="1"/>
  <c r="T47" i="1"/>
  <c r="Q47" i="1"/>
  <c r="T46" i="1"/>
  <c r="T45" i="1"/>
  <c r="Q45" i="1"/>
  <c r="AB46" i="1" s="1"/>
  <c r="H45" i="1"/>
  <c r="I45" i="1" s="1"/>
  <c r="T44" i="1"/>
  <c r="Q44" i="1"/>
  <c r="T43" i="1"/>
  <c r="Q43" i="1"/>
  <c r="T42" i="1"/>
  <c r="Q42" i="1"/>
  <c r="T41" i="1"/>
  <c r="Q41" i="1"/>
  <c r="T40" i="1"/>
  <c r="T39" i="1"/>
  <c r="Q39" i="1"/>
  <c r="AB40" i="1" s="1"/>
  <c r="H39" i="1"/>
  <c r="I39" i="1" s="1"/>
  <c r="T38" i="1"/>
  <c r="Q38" i="1"/>
  <c r="T37" i="1"/>
  <c r="Q37" i="1"/>
  <c r="T36" i="1"/>
  <c r="Q36" i="1"/>
  <c r="T35" i="1"/>
  <c r="Q35" i="1"/>
  <c r="T34" i="1"/>
  <c r="Q34" i="1"/>
  <c r="T33" i="1"/>
  <c r="Q33" i="1"/>
  <c r="H33" i="1"/>
  <c r="I33" i="1" s="1"/>
  <c r="T32" i="1"/>
  <c r="Q32" i="1"/>
  <c r="T31" i="1"/>
  <c r="Q31" i="1"/>
  <c r="T30" i="1"/>
  <c r="Q30" i="1"/>
  <c r="T29" i="1"/>
  <c r="Q29" i="1"/>
  <c r="T28" i="1"/>
  <c r="Q28" i="1"/>
  <c r="T27" i="1"/>
  <c r="Q27" i="1"/>
  <c r="H27" i="1"/>
  <c r="I27" i="1" s="1"/>
  <c r="T26" i="1"/>
  <c r="Q26" i="1"/>
  <c r="T25" i="1"/>
  <c r="Q25" i="1"/>
  <c r="T24" i="1"/>
  <c r="Q24" i="1"/>
  <c r="T23" i="1"/>
  <c r="Q23" i="1"/>
  <c r="T22" i="1"/>
  <c r="Q22" i="1"/>
  <c r="T21" i="1"/>
  <c r="Q21" i="1"/>
  <c r="H21" i="1"/>
  <c r="I21" i="1" s="1"/>
  <c r="H15" i="1"/>
  <c r="Q14" i="1"/>
  <c r="Q13" i="1"/>
  <c r="Q12" i="1"/>
  <c r="T20" i="1"/>
  <c r="Q20" i="1"/>
  <c r="T19" i="1"/>
  <c r="Q19" i="1"/>
  <c r="T18" i="1"/>
  <c r="Q18" i="1"/>
  <c r="T17" i="1"/>
  <c r="Q17" i="1"/>
  <c r="AB64" i="1" l="1"/>
  <c r="AB22" i="1"/>
  <c r="AB28" i="1"/>
  <c r="AB34" i="1"/>
  <c r="AB58" i="1"/>
  <c r="AB49" i="1"/>
  <c r="AA49" i="1" s="1"/>
  <c r="AB50" i="1"/>
  <c r="AA50" i="1" s="1"/>
  <c r="I15" i="1"/>
  <c r="X15" i="1" s="1"/>
  <c r="X63" i="1"/>
  <c r="X57" i="1"/>
  <c r="X51" i="1"/>
  <c r="X45" i="1"/>
  <c r="X49" i="1"/>
  <c r="X50" i="1"/>
  <c r="X39" i="1"/>
  <c r="X33" i="1"/>
  <c r="X27" i="1"/>
  <c r="X21" i="1"/>
  <c r="Y15" i="1" l="1"/>
  <c r="Z15" i="1"/>
  <c r="Y63" i="1"/>
  <c r="Z63" i="1"/>
  <c r="X64" i="1" s="1"/>
  <c r="Y64" i="1" s="1"/>
  <c r="Y57" i="1"/>
  <c r="Z57" i="1"/>
  <c r="X58" i="1" s="1"/>
  <c r="Z58" i="1" s="1"/>
  <c r="X59" i="1" s="1"/>
  <c r="Y51" i="1"/>
  <c r="Z51" i="1"/>
  <c r="X52" i="1" s="1"/>
  <c r="Z52" i="1" s="1"/>
  <c r="X53" i="1" s="1"/>
  <c r="Y50" i="1"/>
  <c r="Z50" i="1"/>
  <c r="Y49" i="1"/>
  <c r="Z49" i="1"/>
  <c r="Y45" i="1"/>
  <c r="Z45" i="1"/>
  <c r="Y39" i="1"/>
  <c r="Z39" i="1"/>
  <c r="X40" i="1" s="1"/>
  <c r="Z40" i="1" s="1"/>
  <c r="X41" i="1" s="1"/>
  <c r="Y33" i="1"/>
  <c r="Z33" i="1"/>
  <c r="Y27" i="1"/>
  <c r="Z27" i="1"/>
  <c r="X28" i="1" s="1"/>
  <c r="Z28" i="1" s="1"/>
  <c r="X29" i="1" s="1"/>
  <c r="Y29" i="1" s="1"/>
  <c r="Y21" i="1"/>
  <c r="Z21" i="1"/>
  <c r="X22" i="1" s="1"/>
  <c r="Y22" i="1" s="1"/>
  <c r="Y58" i="1" l="1"/>
  <c r="Y52" i="1"/>
  <c r="Z22" i="1"/>
  <c r="X23" i="1" s="1"/>
  <c r="Y23" i="1" s="1"/>
  <c r="Y40" i="1"/>
  <c r="Y28" i="1"/>
  <c r="Y41" i="1"/>
  <c r="Z41" i="1"/>
  <c r="Z59" i="1"/>
  <c r="X60" i="1" s="1"/>
  <c r="Y59" i="1"/>
  <c r="Z53" i="1"/>
  <c r="X54" i="1" s="1"/>
  <c r="Y53" i="1"/>
  <c r="Z64" i="1"/>
  <c r="X65" i="1" s="1"/>
  <c r="X34" i="1"/>
  <c r="X46" i="1"/>
  <c r="X47" i="1"/>
  <c r="Z2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9" i="1"/>
  <c r="AC50" i="1"/>
  <c r="T11" i="1"/>
  <c r="T12" i="1"/>
  <c r="T13" i="1"/>
  <c r="T14" i="1"/>
  <c r="Y60" i="1" l="1"/>
  <c r="Z60" i="1"/>
  <c r="Y54" i="1"/>
  <c r="Z54" i="1"/>
  <c r="X55" i="1" s="1"/>
  <c r="Z23" i="1"/>
  <c r="X24" i="1" s="1"/>
  <c r="Z24" i="1" s="1"/>
  <c r="Y47" i="1"/>
  <c r="Z47" i="1"/>
  <c r="X48" i="1" s="1"/>
  <c r="Y65" i="1"/>
  <c r="Z65" i="1"/>
  <c r="X66" i="1" s="1"/>
  <c r="Y46" i="1"/>
  <c r="Z46" i="1"/>
  <c r="X42" i="1"/>
  <c r="Y34" i="1"/>
  <c r="Z34" i="1"/>
  <c r="X35" i="1" s="1"/>
  <c r="Y35" i="1" s="1"/>
  <c r="X31" i="1"/>
  <c r="Y31" i="1" s="1"/>
  <c r="X30" i="1"/>
  <c r="X17" i="1"/>
  <c r="Y17" i="1" s="1"/>
  <c r="Z35" i="1" l="1"/>
  <c r="X36" i="1" s="1"/>
  <c r="Z36" i="1" s="1"/>
  <c r="X37" i="1" s="1"/>
  <c r="Y55" i="1"/>
  <c r="Z55" i="1"/>
  <c r="X56" i="1" s="1"/>
  <c r="X61" i="1"/>
  <c r="X62" i="1"/>
  <c r="Y24" i="1"/>
  <c r="Y42" i="1"/>
  <c r="Z42" i="1"/>
  <c r="X43" i="1" s="1"/>
  <c r="Y43" i="1" s="1"/>
  <c r="Y48" i="1"/>
  <c r="Z48" i="1"/>
  <c r="X25" i="1"/>
  <c r="Z66" i="1"/>
  <c r="Y66" i="1"/>
  <c r="Y30" i="1"/>
  <c r="Z30" i="1"/>
  <c r="Z31" i="1"/>
  <c r="X32" i="1" s="1"/>
  <c r="Z17" i="1"/>
  <c r="X18" i="1" s="1"/>
  <c r="Y18" i="1" s="1"/>
  <c r="Q11" i="1"/>
  <c r="Y36" i="1" l="1"/>
  <c r="Y62" i="1"/>
  <c r="Z62" i="1"/>
  <c r="Y61" i="1"/>
  <c r="Z61" i="1"/>
  <c r="Y56" i="1"/>
  <c r="Z56" i="1"/>
  <c r="X67" i="1"/>
  <c r="X68" i="1"/>
  <c r="Z43" i="1"/>
  <c r="X44" i="1" s="1"/>
  <c r="Y44" i="1" s="1"/>
  <c r="Z37" i="1"/>
  <c r="X38" i="1" s="1"/>
  <c r="Y37" i="1"/>
  <c r="Y25" i="1"/>
  <c r="Z25" i="1"/>
  <c r="X26" i="1" s="1"/>
  <c r="Y26" i="1" s="1"/>
  <c r="Y32" i="1"/>
  <c r="Z32" i="1"/>
  <c r="Z18" i="1"/>
  <c r="X19" i="1" s="1"/>
  <c r="Z19" i="1" s="1"/>
  <c r="X20" i="1" s="1"/>
  <c r="X9" i="1"/>
  <c r="Y9" i="1" s="1"/>
  <c r="Y68" i="1" l="1"/>
  <c r="Z68" i="1"/>
  <c r="Y67" i="1"/>
  <c r="Z67" i="1"/>
  <c r="Y38" i="1"/>
  <c r="Z38" i="1"/>
  <c r="Z44" i="1"/>
  <c r="Z26" i="1"/>
  <c r="Y19" i="1"/>
  <c r="Y20" i="1"/>
  <c r="Z20" i="1"/>
  <c r="Z9" i="1" l="1"/>
  <c r="X10" i="1" s="1"/>
  <c r="X11" i="1" l="1"/>
  <c r="Y11" i="1" s="1"/>
  <c r="Z11" i="1" l="1"/>
  <c r="X12" i="1" s="1"/>
  <c r="Z12" i="1" l="1"/>
  <c r="X13" i="1" s="1"/>
  <c r="Y13" i="1" l="1"/>
  <c r="Z13" i="1"/>
  <c r="X14" i="1" s="1"/>
  <c r="Y12" i="1"/>
  <c r="Y14" i="1" l="1"/>
  <c r="Z14" i="1"/>
  <c r="AB27" i="1" l="1"/>
  <c r="AA27" i="1" s="1"/>
  <c r="AB65" i="1"/>
  <c r="AB57" i="1"/>
  <c r="AB39" i="1"/>
  <c r="AA39" i="1" s="1"/>
  <c r="AB51" i="1"/>
  <c r="AA51" i="1" s="1"/>
  <c r="AB21" i="1"/>
  <c r="AA21" i="1" s="1"/>
  <c r="AB45" i="1"/>
  <c r="AA45" i="1" s="1"/>
  <c r="AB33" i="1"/>
  <c r="AA33" i="1" s="1"/>
  <c r="J40" i="19" l="1"/>
  <c r="V30" i="19"/>
  <c r="AH20" i="19"/>
  <c r="J30" i="19"/>
  <c r="V20" i="19"/>
  <c r="AH10" i="19"/>
  <c r="P10" i="19"/>
  <c r="AB50" i="19"/>
  <c r="J50" i="19"/>
  <c r="AB40" i="19"/>
  <c r="P30" i="19"/>
  <c r="V50" i="19"/>
  <c r="P50" i="19"/>
  <c r="AB10" i="19"/>
  <c r="AH30" i="19"/>
  <c r="AH40" i="19"/>
  <c r="J10" i="19"/>
  <c r="AB20" i="19"/>
  <c r="AH50" i="19"/>
  <c r="AC33" i="1"/>
  <c r="V10" i="19"/>
  <c r="P20" i="19"/>
  <c r="J20" i="19"/>
  <c r="P40" i="19"/>
  <c r="V40" i="19"/>
  <c r="AB30" i="19"/>
  <c r="J11" i="19"/>
  <c r="V11" i="19"/>
  <c r="AB21" i="19"/>
  <c r="P31" i="19"/>
  <c r="J31" i="19"/>
  <c r="AB41" i="19"/>
  <c r="AC39" i="1"/>
  <c r="AH41" i="19"/>
  <c r="P41" i="19"/>
  <c r="J21" i="19"/>
  <c r="AB31" i="19"/>
  <c r="AB51" i="19"/>
  <c r="P21" i="19"/>
  <c r="V41" i="19"/>
  <c r="V31" i="19"/>
  <c r="AH21" i="19"/>
  <c r="AB11" i="19"/>
  <c r="P51" i="19"/>
  <c r="V21" i="19"/>
  <c r="AH31" i="19"/>
  <c r="V51" i="19"/>
  <c r="J51" i="19"/>
  <c r="AH51" i="19"/>
  <c r="AH11" i="19"/>
  <c r="J41" i="19"/>
  <c r="P11" i="19"/>
  <c r="AA22" i="1"/>
  <c r="AB23" i="1"/>
  <c r="AC51"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7" i="1"/>
  <c r="AA64" i="1"/>
  <c r="AC27"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1"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1" i="1"/>
  <c r="AA65" i="1"/>
  <c r="AB66" i="1"/>
  <c r="AB35" i="1"/>
  <c r="AA34" i="1"/>
  <c r="AA40" i="1"/>
  <c r="AB41" i="1"/>
  <c r="AA41" i="1" s="1"/>
  <c r="AB42" i="1"/>
  <c r="V32" i="19"/>
  <c r="P42" i="19"/>
  <c r="J12" i="19"/>
  <c r="J32" i="19"/>
  <c r="AB52" i="19"/>
  <c r="AC45" i="1"/>
  <c r="J22" i="19"/>
  <c r="V22" i="19"/>
  <c r="J52" i="19"/>
  <c r="AH12" i="19"/>
  <c r="J42" i="19"/>
  <c r="AH42" i="19"/>
  <c r="P32" i="19"/>
  <c r="AB12" i="19"/>
  <c r="AH32" i="19"/>
  <c r="AB32" i="19"/>
  <c r="AB42" i="19"/>
  <c r="V42" i="19"/>
  <c r="V12" i="19"/>
  <c r="V52" i="19"/>
  <c r="AB22" i="19"/>
  <c r="AH52" i="19"/>
  <c r="AH22" i="19"/>
  <c r="P22" i="19"/>
  <c r="P12" i="19"/>
  <c r="P52" i="19"/>
  <c r="AB47" i="1"/>
  <c r="AA47" i="1" s="1"/>
  <c r="AB48" i="1"/>
  <c r="AA48" i="1" s="1"/>
  <c r="AA46" i="1"/>
  <c r="AB17" i="1"/>
  <c r="AA52" i="1"/>
  <c r="AB53" i="1"/>
  <c r="AA58" i="1"/>
  <c r="AB59" i="1"/>
  <c r="AA28" i="1"/>
  <c r="AB29"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6" i="1"/>
  <c r="AB67" i="1"/>
  <c r="K35" i="19"/>
  <c r="AC25" i="19"/>
  <c r="K45" i="19"/>
  <c r="AI45" i="19"/>
  <c r="W45" i="19"/>
  <c r="Q35" i="19"/>
  <c r="K55" i="19"/>
  <c r="AC15" i="19"/>
  <c r="Q15" i="19"/>
  <c r="AC35" i="19"/>
  <c r="AI35" i="19"/>
  <c r="Q55" i="19"/>
  <c r="AI25" i="19"/>
  <c r="AC64"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8"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0" i="1"/>
  <c r="AD55" i="19"/>
  <c r="R15" i="19"/>
  <c r="AJ35" i="19"/>
  <c r="AC65"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7"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7" i="1"/>
  <c r="AD12" i="19"/>
  <c r="AD32" i="19"/>
  <c r="AD22" i="19"/>
  <c r="X52" i="19"/>
  <c r="AD52" i="19"/>
  <c r="L42" i="19"/>
  <c r="R42" i="19"/>
  <c r="AJ21" i="19"/>
  <c r="AD31" i="19"/>
  <c r="R21" i="19"/>
  <c r="AD41" i="19"/>
  <c r="AJ11" i="19"/>
  <c r="AJ51" i="19"/>
  <c r="AC41" i="1"/>
  <c r="L41" i="19"/>
  <c r="AD11" i="19"/>
  <c r="L21" i="19"/>
  <c r="L11" i="19"/>
  <c r="X51" i="19"/>
  <c r="X21" i="19"/>
  <c r="R11" i="19"/>
  <c r="R31" i="19"/>
  <c r="AJ41" i="19"/>
  <c r="L31" i="19"/>
  <c r="R51" i="19"/>
  <c r="X31" i="19"/>
  <c r="X11" i="19"/>
  <c r="X41" i="19"/>
  <c r="AJ31" i="19"/>
  <c r="AD51" i="19"/>
  <c r="R41" i="19"/>
  <c r="AD21" i="19"/>
  <c r="L51" i="19"/>
  <c r="AB18" i="1"/>
  <c r="AA17" i="1"/>
  <c r="AA29" i="1"/>
  <c r="AB30" i="1"/>
  <c r="AA53" i="1"/>
  <c r="AB54" i="1"/>
  <c r="K42" i="19"/>
  <c r="AC32" i="19"/>
  <c r="W42" i="19"/>
  <c r="AI52" i="19"/>
  <c r="K22" i="19"/>
  <c r="Q32" i="19"/>
  <c r="AI12" i="19"/>
  <c r="AC52" i="19"/>
  <c r="Q42" i="19"/>
  <c r="AC42" i="19"/>
  <c r="K12" i="19"/>
  <c r="Q22" i="19"/>
  <c r="W52" i="19"/>
  <c r="AI42" i="19"/>
  <c r="W32" i="19"/>
  <c r="AI22" i="19"/>
  <c r="W12" i="19"/>
  <c r="AI32" i="19"/>
  <c r="AC12" i="19"/>
  <c r="Q12" i="19"/>
  <c r="Q52" i="19"/>
  <c r="AC46" i="1"/>
  <c r="K32" i="19"/>
  <c r="W22" i="19"/>
  <c r="K52" i="19"/>
  <c r="AC22" i="19"/>
  <c r="AC40" i="19"/>
  <c r="W10" i="19"/>
  <c r="AC50" i="19"/>
  <c r="Q10" i="19"/>
  <c r="Q30" i="19"/>
  <c r="W50" i="19"/>
  <c r="K40" i="19"/>
  <c r="Q50" i="19"/>
  <c r="W20" i="19"/>
  <c r="AC34"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4" i="1"/>
  <c r="AA23" i="1"/>
  <c r="AA59" i="1"/>
  <c r="AB60" i="1"/>
  <c r="K39" i="19"/>
  <c r="AC39" i="19"/>
  <c r="W29" i="19"/>
  <c r="AI49" i="19"/>
  <c r="W9" i="19"/>
  <c r="AC19" i="19"/>
  <c r="Q49" i="19"/>
  <c r="W49" i="19"/>
  <c r="AC9" i="19"/>
  <c r="AI9" i="19"/>
  <c r="Q29" i="19"/>
  <c r="W39" i="19"/>
  <c r="Q39" i="19"/>
  <c r="AC28"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2" i="1"/>
  <c r="Q33" i="19"/>
  <c r="AI23" i="19"/>
  <c r="K53" i="19"/>
  <c r="AC23" i="19"/>
  <c r="AC13" i="19"/>
  <c r="W23" i="19"/>
  <c r="W33" i="19"/>
  <c r="Q13" i="19"/>
  <c r="W13" i="19"/>
  <c r="AI13" i="19"/>
  <c r="Q43" i="19"/>
  <c r="Q23" i="19"/>
  <c r="W53" i="19"/>
  <c r="M12" i="19"/>
  <c r="AK42" i="19"/>
  <c r="AE32" i="19"/>
  <c r="AC48" i="1"/>
  <c r="M52" i="19"/>
  <c r="S12" i="19"/>
  <c r="M32" i="19"/>
  <c r="S52" i="19"/>
  <c r="Y52" i="19"/>
  <c r="Y42" i="19"/>
  <c r="AK12" i="19"/>
  <c r="S22" i="19"/>
  <c r="AE12" i="19"/>
  <c r="Y22" i="19"/>
  <c r="S32" i="19"/>
  <c r="AK52" i="19"/>
  <c r="M22" i="19"/>
  <c r="AK32" i="19"/>
  <c r="AE22" i="19"/>
  <c r="AE42" i="19"/>
  <c r="Y32" i="19"/>
  <c r="M42" i="19"/>
  <c r="Y12" i="19"/>
  <c r="AE52" i="19"/>
  <c r="AK22" i="19"/>
  <c r="S42" i="19"/>
  <c r="AA42" i="1"/>
  <c r="AB44" i="1"/>
  <c r="AA44" i="1" s="1"/>
  <c r="AB43" i="1"/>
  <c r="AA43" i="1" s="1"/>
  <c r="AA35" i="1"/>
  <c r="AB36" i="1"/>
  <c r="AB12" i="1"/>
  <c r="AA12" i="1" s="1"/>
  <c r="AA11" i="1"/>
  <c r="AB13"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2" i="1"/>
  <c r="AA13" i="1" l="1"/>
  <c r="AB14" i="1"/>
  <c r="AA14" i="1" s="1"/>
  <c r="R40" i="19"/>
  <c r="AD10" i="19"/>
  <c r="X40" i="19"/>
  <c r="AJ10" i="19"/>
  <c r="R50" i="19"/>
  <c r="X10" i="19"/>
  <c r="R30" i="19"/>
  <c r="AC35" i="1"/>
  <c r="L10" i="19"/>
  <c r="L50" i="19"/>
  <c r="AJ20" i="19"/>
  <c r="AJ40" i="19"/>
  <c r="AD30" i="19"/>
  <c r="R20" i="19"/>
  <c r="AD50" i="19"/>
  <c r="AJ30" i="19"/>
  <c r="AJ50" i="19"/>
  <c r="X30" i="19"/>
  <c r="AD20" i="19"/>
  <c r="L40" i="19"/>
  <c r="X50" i="19"/>
  <c r="X20" i="19"/>
  <c r="AD40" i="19"/>
  <c r="R10" i="19"/>
  <c r="L30" i="19"/>
  <c r="L20" i="19"/>
  <c r="AA54" i="1"/>
  <c r="AB55" i="1"/>
  <c r="AA67" i="1"/>
  <c r="AB68" i="1"/>
  <c r="AA68" i="1" s="1"/>
  <c r="AD47" i="19"/>
  <c r="AJ27" i="19"/>
  <c r="AD27" i="19"/>
  <c r="AJ7" i="19"/>
  <c r="AJ37" i="19"/>
  <c r="L27" i="19"/>
  <c r="AD17" i="19"/>
  <c r="L37" i="19"/>
  <c r="R17" i="19"/>
  <c r="AJ17" i="19"/>
  <c r="X7" i="19"/>
  <c r="X47" i="19"/>
  <c r="L7" i="19"/>
  <c r="L17" i="19"/>
  <c r="R27" i="19"/>
  <c r="X27" i="19"/>
  <c r="R7" i="19"/>
  <c r="X17" i="19"/>
  <c r="AJ47" i="19"/>
  <c r="L47" i="19"/>
  <c r="R37" i="19"/>
  <c r="AD7" i="19"/>
  <c r="X37" i="19"/>
  <c r="AC17" i="1"/>
  <c r="R47" i="19"/>
  <c r="AD37" i="19"/>
  <c r="AB25" i="1"/>
  <c r="AA25" i="1" s="1"/>
  <c r="AA24" i="1"/>
  <c r="AB26" i="1"/>
  <c r="AA26" i="1" s="1"/>
  <c r="AJ43" i="19"/>
  <c r="AD33" i="19"/>
  <c r="X33" i="19"/>
  <c r="X13" i="19"/>
  <c r="AD43" i="19"/>
  <c r="L43" i="19"/>
  <c r="AC53" i="1"/>
  <c r="X23" i="19"/>
  <c r="R33" i="19"/>
  <c r="R43" i="19"/>
  <c r="AD53" i="19"/>
  <c r="AJ13" i="19"/>
  <c r="R23" i="19"/>
  <c r="R13" i="19"/>
  <c r="AJ53" i="19"/>
  <c r="L33" i="19"/>
  <c r="L23" i="19"/>
  <c r="X43" i="19"/>
  <c r="X53" i="19"/>
  <c r="AD13" i="19"/>
  <c r="L53" i="19"/>
  <c r="L13" i="19"/>
  <c r="AD23" i="19"/>
  <c r="AJ33" i="19"/>
  <c r="AJ23" i="19"/>
  <c r="R53" i="19"/>
  <c r="AA18" i="1"/>
  <c r="AB19" i="1"/>
  <c r="M55" i="19"/>
  <c r="AK15" i="19"/>
  <c r="AE25" i="19"/>
  <c r="AC66"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3"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3"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2" i="1"/>
  <c r="O11" i="19"/>
  <c r="O21" i="19"/>
  <c r="O51" i="19"/>
  <c r="AA31" i="19"/>
  <c r="AM31" i="19"/>
  <c r="AG51" i="19"/>
  <c r="AA41" i="19"/>
  <c r="AM11" i="19"/>
  <c r="U21" i="19"/>
  <c r="AG41" i="19"/>
  <c r="AM21" i="19"/>
  <c r="AM51" i="19"/>
  <c r="O41" i="19"/>
  <c r="U11" i="19"/>
  <c r="AG31" i="19"/>
  <c r="U41" i="19"/>
  <c r="AC44" i="1"/>
  <c r="AG11" i="19"/>
  <c r="AM41" i="19"/>
  <c r="AA21" i="19"/>
  <c r="AA51" i="19"/>
  <c r="U51" i="19"/>
  <c r="U31" i="19"/>
  <c r="AA11" i="19"/>
  <c r="AG21" i="19"/>
  <c r="O31" i="19"/>
  <c r="AA60" i="1"/>
  <c r="AB61" i="1"/>
  <c r="AA30" i="1"/>
  <c r="AB31" i="1"/>
  <c r="AA31" i="1" s="1"/>
  <c r="AB32" i="1"/>
  <c r="AA32" i="1" s="1"/>
  <c r="AJ46" i="19"/>
  <c r="AD46" i="19"/>
  <c r="L36" i="19"/>
  <c r="X16" i="19"/>
  <c r="AJ26" i="19"/>
  <c r="L46" i="19"/>
  <c r="X6" i="19"/>
  <c r="R36" i="19"/>
  <c r="X36" i="19"/>
  <c r="R6" i="19"/>
  <c r="AJ6" i="19"/>
  <c r="AD36" i="19"/>
  <c r="R46" i="19"/>
  <c r="AD26" i="19"/>
  <c r="L16" i="19"/>
  <c r="AD16" i="19"/>
  <c r="AC11" i="1"/>
  <c r="X46" i="19"/>
  <c r="X26" i="19"/>
  <c r="AJ36" i="19"/>
  <c r="R26" i="19"/>
  <c r="AD6" i="19"/>
  <c r="L6" i="19"/>
  <c r="L26" i="19"/>
  <c r="R16" i="19"/>
  <c r="AJ16" i="19"/>
  <c r="AA36" i="1"/>
  <c r="AB37" i="1"/>
  <c r="AE11" i="19"/>
  <c r="Y41" i="19"/>
  <c r="M41" i="19"/>
  <c r="Y21" i="19"/>
  <c r="AK41" i="19"/>
  <c r="S31" i="19"/>
  <c r="M31" i="19"/>
  <c r="M51" i="19"/>
  <c r="Y51" i="19"/>
  <c r="AK21" i="19"/>
  <c r="AK31" i="19"/>
  <c r="Y11" i="19"/>
  <c r="AE41" i="19"/>
  <c r="AE21" i="19"/>
  <c r="S51" i="19"/>
  <c r="AE51" i="19"/>
  <c r="AK51" i="19"/>
  <c r="M21" i="19"/>
  <c r="AE31" i="19"/>
  <c r="AC42" i="1"/>
  <c r="S41" i="19"/>
  <c r="AK11" i="19"/>
  <c r="S11" i="19"/>
  <c r="Y31" i="19"/>
  <c r="S21" i="19"/>
  <c r="M11" i="19"/>
  <c r="L54" i="19"/>
  <c r="AJ14" i="19"/>
  <c r="AD44" i="19"/>
  <c r="X54" i="19"/>
  <c r="R14" i="19"/>
  <c r="AD24" i="19"/>
  <c r="AD34" i="19"/>
  <c r="R54" i="19"/>
  <c r="L34" i="19"/>
  <c r="AJ34" i="19"/>
  <c r="X24" i="19"/>
  <c r="AJ24" i="19"/>
  <c r="X44" i="19"/>
  <c r="R24" i="19"/>
  <c r="AC59" i="1"/>
  <c r="X34" i="19"/>
  <c r="L14" i="19"/>
  <c r="AD14" i="19"/>
  <c r="L44" i="19"/>
  <c r="R44" i="19"/>
  <c r="AD54" i="19"/>
  <c r="X14" i="19"/>
  <c r="AJ44" i="19"/>
  <c r="R34" i="19"/>
  <c r="AJ54" i="19"/>
  <c r="L24" i="19"/>
  <c r="AD29" i="19"/>
  <c r="AD19" i="19"/>
  <c r="R39" i="19"/>
  <c r="R9" i="19"/>
  <c r="X49" i="19"/>
  <c r="X9" i="19"/>
  <c r="AD39" i="19"/>
  <c r="R29" i="19"/>
  <c r="L49" i="19"/>
  <c r="X19" i="19"/>
  <c r="X29" i="19"/>
  <c r="X39" i="19"/>
  <c r="L9" i="19"/>
  <c r="AC29" i="1"/>
  <c r="AD9" i="19"/>
  <c r="AJ49" i="19"/>
  <c r="L39" i="19"/>
  <c r="R19" i="19"/>
  <c r="AJ39" i="19"/>
  <c r="AJ29" i="19"/>
  <c r="AJ19" i="19"/>
  <c r="AJ9" i="19"/>
  <c r="AD49" i="19"/>
  <c r="L19" i="19"/>
  <c r="L29" i="19"/>
  <c r="R49" i="19"/>
  <c r="AA37" i="1" l="1"/>
  <c r="AB38" i="1"/>
  <c r="AA38" i="1" s="1"/>
  <c r="AG39" i="19"/>
  <c r="AG29" i="19"/>
  <c r="AM19" i="19"/>
  <c r="O39" i="19"/>
  <c r="AC3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0" i="1"/>
  <c r="AE24" i="19"/>
  <c r="S14" i="19"/>
  <c r="AK17" i="19"/>
  <c r="S27" i="19"/>
  <c r="S37" i="19"/>
  <c r="AE27" i="19"/>
  <c r="Y47" i="19"/>
  <c r="S7" i="19"/>
  <c r="M17" i="19"/>
  <c r="AE17" i="19"/>
  <c r="AK27" i="19"/>
  <c r="Y7" i="19"/>
  <c r="Y37" i="19"/>
  <c r="AE37" i="19"/>
  <c r="Y27" i="19"/>
  <c r="M47" i="19"/>
  <c r="AC18"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4" i="1"/>
  <c r="AE28" i="19"/>
  <c r="AA55" i="19"/>
  <c r="O45" i="19"/>
  <c r="AA15" i="19"/>
  <c r="AM55" i="19"/>
  <c r="O55" i="19"/>
  <c r="AG35" i="19"/>
  <c r="AM25" i="19"/>
  <c r="AM35" i="19"/>
  <c r="AA25" i="19"/>
  <c r="AM45" i="19"/>
  <c r="AG25" i="19"/>
  <c r="AA35" i="19"/>
  <c r="O25" i="19"/>
  <c r="U25" i="19"/>
  <c r="AG45" i="19"/>
  <c r="U35" i="19"/>
  <c r="AA45" i="19"/>
  <c r="AM15" i="19"/>
  <c r="U45" i="19"/>
  <c r="O35" i="19"/>
  <c r="O15" i="19"/>
  <c r="AC68" i="1"/>
  <c r="AG15" i="19"/>
  <c r="U15" i="19"/>
  <c r="AG55" i="19"/>
  <c r="U55" i="19"/>
  <c r="AE40" i="19"/>
  <c r="Y30" i="19"/>
  <c r="M20" i="19"/>
  <c r="AC36"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1" i="1"/>
  <c r="T19" i="19"/>
  <c r="AL49" i="19"/>
  <c r="T29" i="19"/>
  <c r="AF29" i="19"/>
  <c r="T18" i="19"/>
  <c r="N48" i="19"/>
  <c r="N8" i="19"/>
  <c r="T28" i="19"/>
  <c r="AF38" i="19"/>
  <c r="Z28" i="19"/>
  <c r="Z18" i="19"/>
  <c r="AF8" i="19"/>
  <c r="AC25"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7"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0" i="1"/>
  <c r="M9" i="19"/>
  <c r="Y29" i="19"/>
  <c r="AA55" i="1"/>
  <c r="AB56" i="1"/>
  <c r="AA56" i="1" s="1"/>
  <c r="AM46" i="19"/>
  <c r="U36" i="19"/>
  <c r="AG16" i="19"/>
  <c r="O6" i="19"/>
  <c r="AA36" i="19"/>
  <c r="AM16" i="19"/>
  <c r="U6" i="19"/>
  <c r="AG46" i="19"/>
  <c r="AA16" i="19"/>
  <c r="AC14" i="1"/>
  <c r="AA6" i="19"/>
  <c r="AG6" i="19"/>
  <c r="AA46" i="19"/>
  <c r="AM26" i="19"/>
  <c r="U16" i="19"/>
  <c r="O36" i="19"/>
  <c r="U26" i="19"/>
  <c r="O46" i="19"/>
  <c r="AA26" i="19"/>
  <c r="AM6" i="19"/>
  <c r="U46" i="19"/>
  <c r="AG26" i="19"/>
  <c r="O16" i="19"/>
  <c r="AG36" i="19"/>
  <c r="O26" i="19"/>
  <c r="AM36" i="19"/>
  <c r="AA61" i="1"/>
  <c r="AB62" i="1"/>
  <c r="AA62" i="1" s="1"/>
  <c r="AB20" i="1"/>
  <c r="AA20" i="1" s="1"/>
  <c r="AA19" i="1"/>
  <c r="O8" i="19"/>
  <c r="AA48" i="19"/>
  <c r="AM38" i="19"/>
  <c r="U48" i="19"/>
  <c r="AA18" i="19"/>
  <c r="AG18" i="19"/>
  <c r="AG48" i="19"/>
  <c r="AM18" i="19"/>
  <c r="AA28" i="19"/>
  <c r="AG28" i="19"/>
  <c r="AA8" i="19"/>
  <c r="U18" i="19"/>
  <c r="AG38" i="19"/>
  <c r="U38" i="19"/>
  <c r="AM8" i="19"/>
  <c r="AA38" i="19"/>
  <c r="AM48" i="19"/>
  <c r="U28" i="19"/>
  <c r="O38" i="19"/>
  <c r="U8" i="19"/>
  <c r="AG8" i="19"/>
  <c r="AC26"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4" i="1"/>
  <c r="M33" i="19"/>
  <c r="AF6" i="19"/>
  <c r="N46" i="19"/>
  <c r="Z26" i="19"/>
  <c r="AL6" i="19"/>
  <c r="AL36" i="19"/>
  <c r="AF26" i="19"/>
  <c r="Z6" i="19"/>
  <c r="T26" i="19"/>
  <c r="Z46" i="19"/>
  <c r="AF46" i="19"/>
  <c r="T46" i="19"/>
  <c r="T6" i="19"/>
  <c r="AF36" i="19"/>
  <c r="N26" i="19"/>
  <c r="Z16" i="19"/>
  <c r="AL26" i="19"/>
  <c r="Z36" i="19"/>
  <c r="N36" i="19"/>
  <c r="AL46" i="19"/>
  <c r="T36" i="19"/>
  <c r="AF16" i="19"/>
  <c r="N6" i="19"/>
  <c r="N16" i="19"/>
  <c r="AC13"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2" i="1"/>
  <c r="AA14" i="19"/>
  <c r="O54" i="19"/>
  <c r="U44" i="19"/>
  <c r="U43" i="19"/>
  <c r="U13" i="19"/>
  <c r="AM53" i="19"/>
  <c r="AA53" i="19"/>
  <c r="AA43" i="19"/>
  <c r="O53" i="19"/>
  <c r="O23" i="19"/>
  <c r="O13" i="19"/>
  <c r="AG43" i="19"/>
  <c r="U33" i="19"/>
  <c r="U23" i="19"/>
  <c r="AM13" i="19"/>
  <c r="AM23" i="19"/>
  <c r="AG13" i="19"/>
  <c r="AA23" i="19"/>
  <c r="AG33" i="19"/>
  <c r="AA33" i="19"/>
  <c r="AM33" i="19"/>
  <c r="AA13" i="19"/>
  <c r="AC56"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1" i="1"/>
  <c r="AF53" i="19"/>
  <c r="T43" i="19"/>
  <c r="Z53" i="19"/>
  <c r="N43" i="19"/>
  <c r="T23" i="19"/>
  <c r="AF43" i="19"/>
  <c r="Z13" i="19"/>
  <c r="Z43" i="19"/>
  <c r="AF23" i="19"/>
  <c r="AL13" i="19"/>
  <c r="Z23" i="19"/>
  <c r="AL43" i="19"/>
  <c r="AF13" i="19"/>
  <c r="AL23" i="19"/>
  <c r="N13" i="19"/>
  <c r="T33" i="19"/>
  <c r="AL53" i="19"/>
  <c r="N23" i="19"/>
  <c r="N53" i="19"/>
  <c r="AF33" i="19"/>
  <c r="N33" i="19"/>
  <c r="AC55" i="1"/>
  <c r="T53" i="19"/>
  <c r="AL33" i="19"/>
  <c r="T13" i="19"/>
  <c r="Z33" i="19"/>
  <c r="Z47" i="19"/>
  <c r="T7" i="19"/>
  <c r="AL37" i="19"/>
  <c r="T17" i="19"/>
  <c r="Z17" i="19"/>
  <c r="AF7" i="19"/>
  <c r="AF37" i="19"/>
  <c r="N17" i="19"/>
  <c r="AF27" i="19"/>
  <c r="AC19"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8"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0" i="1"/>
  <c r="AA17" i="19"/>
  <c r="O7" i="19"/>
  <c r="AA37" i="19"/>
  <c r="AA27" i="19"/>
  <c r="AM27" i="19"/>
  <c r="U17" i="19"/>
  <c r="U47" i="19"/>
  <c r="AG17" i="19"/>
  <c r="O47" i="19"/>
  <c r="Z40" i="19"/>
  <c r="AC37"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39" i="1" l="1"/>
  <c r="L39" i="1" s="1"/>
  <c r="K9" i="1"/>
  <c r="L9" i="1" s="1"/>
  <c r="K27" i="1"/>
  <c r="L27" i="1" s="1"/>
  <c r="K21" i="1"/>
  <c r="L21" i="1" s="1"/>
  <c r="K51" i="1"/>
  <c r="L51" i="1" s="1"/>
  <c r="K45" i="1"/>
  <c r="L45" i="1" s="1"/>
  <c r="K33" i="1"/>
  <c r="L33" i="1" s="1"/>
  <c r="K15" i="1"/>
  <c r="L15" i="1" s="1"/>
  <c r="K63" i="1"/>
  <c r="L63" i="1" s="1"/>
  <c r="K57" i="1"/>
  <c r="L57" i="1" s="1"/>
  <c r="N15" i="1" l="1"/>
  <c r="M15" i="1"/>
  <c r="AB15" i="1" s="1"/>
  <c r="AA15" i="1" s="1"/>
  <c r="X6" i="18"/>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3" i="1"/>
  <c r="L32" i="18"/>
  <c r="X8" i="18"/>
  <c r="X24" i="18"/>
  <c r="AJ8" i="18"/>
  <c r="M33" i="1"/>
  <c r="R40" i="18"/>
  <c r="L40" i="18"/>
  <c r="X16" i="18"/>
  <c r="L24" i="18"/>
  <c r="AJ24" i="18"/>
  <c r="X32" i="18"/>
  <c r="AJ40" i="18"/>
  <c r="R16" i="18"/>
  <c r="AD40" i="18"/>
  <c r="AD32" i="18"/>
  <c r="AD16" i="18"/>
  <c r="M45" i="1"/>
  <c r="J42" i="18"/>
  <c r="P34" i="18"/>
  <c r="AB18" i="18"/>
  <c r="AB42" i="18"/>
  <c r="AH34" i="18"/>
  <c r="P10" i="18"/>
  <c r="V34" i="18"/>
  <c r="P42" i="18"/>
  <c r="V42" i="18"/>
  <c r="AH42" i="18"/>
  <c r="AB26" i="18"/>
  <c r="AH26" i="18"/>
  <c r="V26" i="18"/>
  <c r="AB34" i="18"/>
  <c r="V10" i="18"/>
  <c r="AH18" i="18"/>
  <c r="J34" i="18"/>
  <c r="J10" i="18"/>
  <c r="AB10" i="18"/>
  <c r="J18" i="18"/>
  <c r="N45" i="1"/>
  <c r="P26" i="18"/>
  <c r="J26" i="18"/>
  <c r="AH10" i="18"/>
  <c r="P18" i="18"/>
  <c r="V18" i="18"/>
  <c r="X42" i="18"/>
  <c r="AD34" i="18"/>
  <c r="AD10" i="18"/>
  <c r="AD26" i="18"/>
  <c r="L10" i="18"/>
  <c r="L42" i="18"/>
  <c r="L26" i="18"/>
  <c r="X18" i="18"/>
  <c r="X34" i="18"/>
  <c r="X10" i="18"/>
  <c r="R18" i="18"/>
  <c r="AJ10" i="18"/>
  <c r="AD42" i="18"/>
  <c r="AJ34" i="18"/>
  <c r="R26" i="18"/>
  <c r="M51" i="1"/>
  <c r="L18" i="18"/>
  <c r="AJ26" i="18"/>
  <c r="AD18" i="18"/>
  <c r="R34" i="18"/>
  <c r="L34" i="18"/>
  <c r="AJ42" i="18"/>
  <c r="R10" i="18"/>
  <c r="R42" i="18"/>
  <c r="X26" i="18"/>
  <c r="AJ18" i="18"/>
  <c r="N51" i="1"/>
  <c r="T14" i="18"/>
  <c r="AL38" i="18"/>
  <c r="N14" i="18"/>
  <c r="Z6" i="18"/>
  <c r="T38" i="18"/>
  <c r="T22" i="18"/>
  <c r="AL14" i="18"/>
  <c r="N22" i="18"/>
  <c r="N21" i="1"/>
  <c r="AF22" i="18"/>
  <c r="N6" i="18"/>
  <c r="AF6" i="18"/>
  <c r="AF38" i="18"/>
  <c r="M21" i="1"/>
  <c r="N38" i="18"/>
  <c r="AL30" i="18"/>
  <c r="AL22" i="18"/>
  <c r="T6" i="18"/>
  <c r="AF14" i="18"/>
  <c r="AF30" i="18"/>
  <c r="Z22" i="18"/>
  <c r="T30" i="18"/>
  <c r="Z30" i="18"/>
  <c r="AL6" i="18"/>
  <c r="Z14" i="18"/>
  <c r="Z38" i="18"/>
  <c r="N30" i="18"/>
  <c r="J40" i="18"/>
  <c r="AB40" i="18"/>
  <c r="AH32" i="18"/>
  <c r="AB24" i="18"/>
  <c r="V16" i="18"/>
  <c r="M27" i="1"/>
  <c r="J16" i="18"/>
  <c r="P32" i="18"/>
  <c r="V24" i="18"/>
  <c r="P24" i="18"/>
  <c r="V40" i="18"/>
  <c r="P16" i="18"/>
  <c r="P40" i="18"/>
  <c r="V32" i="18"/>
  <c r="AH16" i="18"/>
  <c r="AB16" i="18"/>
  <c r="V8" i="18"/>
  <c r="AH24" i="18"/>
  <c r="AH8" i="18"/>
  <c r="AH40" i="18"/>
  <c r="J8" i="18"/>
  <c r="AB32" i="18"/>
  <c r="AB8" i="18"/>
  <c r="J24" i="18"/>
  <c r="J32" i="18"/>
  <c r="P8" i="18"/>
  <c r="N27" i="1"/>
  <c r="Z42" i="18"/>
  <c r="T18" i="18"/>
  <c r="AF34" i="18"/>
  <c r="AF42" i="18"/>
  <c r="N42" i="18"/>
  <c r="Z18" i="18"/>
  <c r="AL10" i="18"/>
  <c r="AL26" i="18"/>
  <c r="AF26" i="18"/>
  <c r="Z10" i="18"/>
  <c r="N18" i="18"/>
  <c r="T26" i="18"/>
  <c r="AF10" i="18"/>
  <c r="T34" i="18"/>
  <c r="N26" i="18"/>
  <c r="AL18" i="18"/>
  <c r="N10" i="18"/>
  <c r="AF18" i="18"/>
  <c r="Z26" i="18"/>
  <c r="AL34" i="18"/>
  <c r="M57" i="1"/>
  <c r="Z34" i="18"/>
  <c r="T10" i="18"/>
  <c r="N57" i="1"/>
  <c r="AL42" i="18"/>
  <c r="N34" i="18"/>
  <c r="T42" i="18"/>
  <c r="P14" i="18"/>
  <c r="V22" i="18"/>
  <c r="V14" i="18"/>
  <c r="P22" i="18"/>
  <c r="V38" i="18"/>
  <c r="AH14" i="18"/>
  <c r="AH38" i="18"/>
  <c r="J14" i="18"/>
  <c r="AB22" i="18"/>
  <c r="V30" i="18"/>
  <c r="AB14" i="18"/>
  <c r="AB38" i="18"/>
  <c r="J30" i="18"/>
  <c r="P38" i="18"/>
  <c r="AB6" i="18"/>
  <c r="M9" i="1"/>
  <c r="AB9" i="1" s="1"/>
  <c r="AA9" i="1" s="1"/>
  <c r="AH30" i="18"/>
  <c r="J38" i="18"/>
  <c r="AH6" i="18"/>
  <c r="V6" i="18"/>
  <c r="AB30" i="18"/>
  <c r="J22" i="18"/>
  <c r="J6" i="18"/>
  <c r="P30" i="18"/>
  <c r="AH22" i="18"/>
  <c r="P6" i="18"/>
  <c r="N9" i="1"/>
  <c r="AH12" i="18"/>
  <c r="J20" i="18"/>
  <c r="J44" i="18"/>
  <c r="AB28" i="18"/>
  <c r="P28" i="18"/>
  <c r="N63" i="1"/>
  <c r="P12" i="18"/>
  <c r="AH20" i="18"/>
  <c r="P44" i="18"/>
  <c r="AB12" i="18"/>
  <c r="P20" i="18"/>
  <c r="J36" i="18"/>
  <c r="P36" i="18"/>
  <c r="AB44" i="18"/>
  <c r="V44" i="18"/>
  <c r="J28" i="18"/>
  <c r="AH36" i="18"/>
  <c r="V12" i="18"/>
  <c r="V28" i="18"/>
  <c r="AH44" i="18"/>
  <c r="AB20" i="18"/>
  <c r="AB36" i="18"/>
  <c r="AH28" i="18"/>
  <c r="V36" i="18"/>
  <c r="V20" i="18"/>
  <c r="M63" i="1"/>
  <c r="AB63" i="1" s="1"/>
  <c r="AA63" i="1" s="1"/>
  <c r="J12" i="18"/>
  <c r="AF24" i="18"/>
  <c r="AF32" i="18"/>
  <c r="T40" i="18"/>
  <c r="M39" i="1"/>
  <c r="Z40" i="18"/>
  <c r="AL8" i="18"/>
  <c r="AF8" i="18"/>
  <c r="T8" i="18"/>
  <c r="Z16" i="18"/>
  <c r="T24" i="18"/>
  <c r="AL24" i="18"/>
  <c r="Z32" i="18"/>
  <c r="N32" i="18"/>
  <c r="N16" i="18"/>
  <c r="Z8" i="18"/>
  <c r="AL40" i="18"/>
  <c r="N8" i="18"/>
  <c r="N24" i="18"/>
  <c r="T32" i="18"/>
  <c r="T16" i="18"/>
  <c r="AF40" i="18"/>
  <c r="AF16" i="18"/>
  <c r="AL32" i="18"/>
  <c r="N40" i="18"/>
  <c r="Z24" i="18"/>
  <c r="AL16" i="18"/>
  <c r="N39" i="1"/>
  <c r="AC15" i="1" l="1"/>
  <c r="AH7" i="19"/>
  <c r="V7" i="19"/>
  <c r="AB17" i="19"/>
  <c r="P47" i="19"/>
  <c r="AH37" i="19"/>
  <c r="J7" i="19"/>
  <c r="P37" i="19"/>
  <c r="AB27" i="19"/>
  <c r="P27" i="19"/>
  <c r="V37" i="19"/>
  <c r="V27" i="19"/>
  <c r="J17" i="19"/>
  <c r="AB7" i="19"/>
  <c r="AH17" i="19"/>
  <c r="V47" i="19"/>
  <c r="P17" i="19"/>
  <c r="P7" i="19"/>
  <c r="J37" i="19"/>
  <c r="V17" i="19"/>
  <c r="AH27" i="19"/>
  <c r="J47" i="19"/>
  <c r="AB37" i="19"/>
  <c r="AH47" i="19"/>
  <c r="AB47" i="19"/>
  <c r="J27" i="19"/>
  <c r="P16" i="19"/>
  <c r="P6" i="19"/>
  <c r="AH6" i="19"/>
  <c r="V46" i="19"/>
  <c r="AH46" i="19"/>
  <c r="AB46" i="19"/>
  <c r="J6" i="19"/>
  <c r="P46" i="19"/>
  <c r="AB26" i="19"/>
  <c r="AB16" i="19"/>
  <c r="AH26" i="19"/>
  <c r="J16" i="19"/>
  <c r="V26" i="19"/>
  <c r="AH36" i="19"/>
  <c r="P26" i="19"/>
  <c r="V16" i="19"/>
  <c r="V36" i="19"/>
  <c r="AC9"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3" i="1"/>
  <c r="AB25" i="19"/>
  <c r="AH35" i="19"/>
  <c r="P55" i="19"/>
  <c r="J45" i="19"/>
  <c r="P25" i="19"/>
  <c r="P35" i="19"/>
  <c r="V55"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<sst xmlns="http://schemas.openxmlformats.org/spreadsheetml/2006/main" count="1246" uniqueCount="370">
  <si>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</si>
  <si>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</si>
  <si>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</si>
  <si>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</si>
  <si>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</si>
  <si>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</si>
  <si>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</si>
  <si>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</si>
  <si>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</si>
  <si>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</si>
  <si>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</si>
  <si>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</si>
  <si>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</si>
  <si>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</si>
  <si>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</si>
  <si>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</si>
  <si>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</si>
  <si>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</si>
  <si>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</si>
  <si>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</si>
  <si>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</si>
  <si>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</si>
  <si>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</si>
  <si>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</si>
  <si>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</si>
  <si>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</si>
  <si>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</si>
  <si>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</si>
  <si>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</si>
  <si>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</si>
  <si>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</si>
  <si>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</si>
  <si>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</si>
  <si>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</si>
  <si>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</si>
  <si>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</si>
  <si>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</si>
  <si>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</si>
  <si>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</si>
  <si>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</si>
  <si>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</si>
  <si>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</si>
  <si>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</si>
  <si>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</si>
  <si>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</si>
  <si>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</si>
  <si>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</si>
  <si>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</si>
  <si>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</si>
  <si>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</si>
  <si>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</si>
  <si>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</si>
  <si>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</si>
  <si>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</si>
  <si>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</si>
  <si>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</si>
  <si>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</si>
  <si>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</si>
  <si>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</si>
  <si>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</si>
  <si>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</si>
  <si>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</si>
  <si>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</si>
  <si>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</si>
  <si>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</si>
  <si>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</si>
  <si>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</si>
  <si>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</si>
  <si>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</si>
  <si>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</si>
  <si>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</si>
  <si>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</si>
  <si>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</si>
  <si>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</si>
  <si>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</si>
  <si>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</si>
  <si>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</si>
  <si>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</si>
  <si>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</si>
  <si>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</si>
  <si>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</si>
  <si>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</si>
  <si>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</si>
  <si>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</si>
  <si>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</si>
  <si>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</si>
  <si>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</si>
  <si>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</si>
  <si>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</si>
  <si>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</si>
  <si>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</si>
  <si>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</si>
  <si>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</si>
  <si>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</si>
  <si>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</si>
  <si>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</si>
  <si>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</si>
  <si>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</si>
  <si>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</si>
  <si>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</si>
  <si>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</si>
  <si>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</si>
  <si>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</si>
  <si>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</si>
  <si>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</si>
  <si>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</si>
  <si>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</si>
  <si>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</si>
  <si>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</si>
  <si>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</si>
  <si>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</si>
  <si>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</si>
  <si>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</si>
  <si>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</si>
  <si>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</si>
  <si>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</si>
  <si>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</si>
  <si>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</si>
  <si>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</si>
  <si>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</si>
  <si>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</si>
  <si>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</si>
  <si>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</si>
  <si>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</si>
  <si>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</si>
  <si>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</si>
  <si>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</si>
  <si>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</si>
  <si>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</si>
  <si>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</si>
  <si>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</si>
  <si>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</si>
  <si>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</si>
  <si>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</si>
  <si>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</si>
  <si>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</si>
  <si>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</si>
  <si>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</si>
  <si>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</si>
  <si>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</si>
  <si>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</si>
  <si>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</si>
  <si>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</si>
  <si>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</si>
  <si>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</si>
  <si>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</si>
  <si>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</si>
  <si>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</si>
  <si>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</si>
  <si>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</si>
  <si>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</si>
  <si>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</si>
  <si>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</si>
  <si>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</si>
  <si>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</si>
  <si>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</si>
  <si>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</si>
  <si>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</si>
  <si>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</si>
  <si>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</si>
  <si>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</si>
  <si>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</si>
  <si>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</si>
  <si>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</si>
  <si>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</si>
  <si>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</si>
  <si>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</si>
  <si>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</si>
  <si>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</si>
  <si>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</si>
  <si>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</si>
  <si>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</si>
  <si>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</si>
  <si>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</si>
  <si>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</si>
  <si>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</si>
  <si>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</si>
  <si>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</si>
  <si>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</si>
  <si>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</si>
  <si>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</si>
  <si>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</si>
  <si>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</si>
  <si>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</si>
  <si>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</si>
  <si>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</si>
  <si>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</si>
  <si>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</si>
  <si>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</si>
  <si>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</si>
  <si>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</si>
  <si>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</si>
  <si>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</si>
  <si>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</si>
  <si>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</si>
  <si>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</si>
  <si>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</si>
  <si>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</si>
  <si>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</si>
  <si>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</si>
  <si>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</si>
  <si>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</si>
  <si>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</si>
  <si>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</si>
  <si>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</si>
  <si>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</si>
  <si>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</si>
  <si>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</si>
  <si>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</si>
  <si>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</si>
  <si>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</si>
  <si>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Desconocimiento de los procedimientos para rendir informes a los entes externos.</t>
  </si>
  <si>
    <t xml:space="preserve">Desconocimiento de la Normatividad por parte del responsable de presentar los informes </t>
  </si>
  <si>
    <t xml:space="preserve">Posibilidad de afectación reputacional por el incumplimiento en la presentacion de informes de ley por desconocimiento </t>
  </si>
  <si>
    <t>Realizar la verificación mediante check list al momento de rendir la información del componente de Planeación en la plataforma.</t>
  </si>
  <si>
    <t>Posibilidad de Afectación económica por que la entidad no puede afrontrar los cambios Normativos en las leyes de Television</t>
  </si>
  <si>
    <t>Cambios Normativos por parte del Gobierno Nacional</t>
  </si>
  <si>
    <t xml:space="preserve">Normas afectan directamente la operación del Canal </t>
  </si>
  <si>
    <t xml:space="preserve"> Establecer las directrices institucionales a nivel gerencial para el logro de la misión de la entidad, mejorando significativamente los indicadores de efectividad en toda la entidad.  </t>
  </si>
  <si>
    <t>Planeación Estratégica</t>
  </si>
  <si>
    <t>Socializar durante la vigencia 2022 decretos, resoluciones, circulares u otros documentos del Sector que contengan cambios normativos.</t>
  </si>
  <si>
    <t xml:space="preserve">Inicia con el diagnostico del estado actual de la entidad para establecer las directrices de funcionamiento para toda la entidad y finaliza con la revisión gerencial del SGC y SCI. </t>
  </si>
  <si>
    <t>Formato Mapa Riesgos 2024</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</si>
  <si>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</si>
  <si>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Gestión de Calidad</t>
  </si>
  <si>
    <t>Establecer, documentar y mantener el Sistema de Gestión de Calidad mejorando continuamente su eficacia</t>
  </si>
  <si>
    <t>Inicia con el establecimiento y control de todos los documentos del Sistema de Gestión de Calidad y termina con el seguimiento a las acciones correctivas y preventivas implementadas por cada procedimiento.</t>
  </si>
  <si>
    <t>Personal que no se encuentra familiarizado con los controles y herramientas disponibles en el SG</t>
  </si>
  <si>
    <t>Incumplimiento de algunos requisitos establecidos en los procesos que dificultan el logro de los objetivos en términos de calidad y satisfacción.</t>
  </si>
  <si>
    <t>Posibilidad de afectación economica y reputacional  por errores cometidos en los procesos  establecidos debido a que no  se conocen o hay  poco interes en la documentación del Sistema de Gestión de Calidad</t>
  </si>
  <si>
    <t xml:space="preserve">Hacer induccion del SGC, cuado se realice ingreso de los nuevos funcionarios y / o contratistas usuarios del SGC al  canal y  sensibilizar de la importancia del SGC en la entidad </t>
  </si>
  <si>
    <t>Seguimiento y Evaluación</t>
  </si>
  <si>
    <t xml:space="preserve">Evaluar la eficiencia y eficacia del manejo de los recursos de la Entidad y el nivel de desarrollo del Sistema de Control Interno con el fin de formular recomendaciones que contribuyan al mejoramiento continuo para el logro de objetivos institucionales. </t>
  </si>
  <si>
    <t>Inicia con el fomento de la cultura de control y finaliza con el seguimiento a las observaciones y recomendaciones propuestas, a las acciones de mejoramiento establecidas por los Entes de Vigilancia y Control.</t>
  </si>
  <si>
    <t>Desconocimiento de la Entidad, demora en la entrega de la información para la ejecución de los informes</t>
  </si>
  <si>
    <t xml:space="preserve">Planeación Inadecuada </t>
  </si>
  <si>
    <t>Posibilidad de afectación reputacional por incumplimiento del  Plan Anual de Auditoría de la vigencia, debido a  una indebida planeación</t>
  </si>
  <si>
    <t>Seguimiento continuo a la programación realizada en el plan anual de auditoría, para prever sus ajustes y/o modificaciones, solicitando la aprobación al Comité Institucional de Coordinación de Control Interno</t>
  </si>
  <si>
    <t xml:space="preserve">Desconocimiento en las fechas de reporte de la rendición </t>
  </si>
  <si>
    <t xml:space="preserve">Posibilidad de afectación económico y reputacional por incumplimiento de informes y reportes externos a Entes de Control, debido  a desconocimiento en las fechas de presentación o fallas tecnológicas de la Entidad  </t>
  </si>
  <si>
    <t>Ejecución y Administración de procesos</t>
  </si>
  <si>
    <t>Verificación periódica de las fechas de vencimiento de los reporte establecidos por los Entes de Control</t>
  </si>
  <si>
    <t xml:space="preserve">Información suministrada de forma incompleta o con impresiciones </t>
  </si>
  <si>
    <t>Información recibida  de forma incompleta o errónea para análisis o interpretación</t>
  </si>
  <si>
    <t>Posibilidad de afectación reputacional por Inexactitud en la información contenida en los informes de auditorías internas y/o seguimientos realizados por la Oficina de Control Interno, debido a información proporcionada incompleta y/o errónea por parte del auditado o interpretación inadecuada del auditor</t>
  </si>
  <si>
    <t xml:space="preserve">Revisión detallada del contenido del informe por parte del Jefe de la Oficina de Control Interno, para su respectiva socialización          </t>
  </si>
  <si>
    <t>Socialización informes de auditoría interna y/o seguimientos a los responsables del proceso auditado, antes de entregar el informe definitivo</t>
  </si>
  <si>
    <t>Formato Mapa Riesgos  2024</t>
  </si>
  <si>
    <t>Gestión de Programación</t>
  </si>
  <si>
    <t>Objetivo:  Estructurar la programación del Canal y clasificar los contenidos de los comerciales verificando y garantizando contenidos para emisión, cumpliendo con la politicas de programación y la normatividad</t>
  </si>
  <si>
    <t>Inicia con la revisión de las propuestas de programación, solicitud de codificación y clasificación de comerciales, y finaliza con la elaboración de certificados de emisión.</t>
  </si>
  <si>
    <t xml:space="preserve">No se incluye en la continuoidad de emision o se incluye referencia o parrilla equivocada,  </t>
  </si>
  <si>
    <t>Deconocimiento por parte del cliente de los requisitos de entrega de los programas  y/o condiciones  externas  de orden publico, climaticas ( En directos)</t>
  </si>
  <si>
    <t>Posibilidad de riesgo económico y reputacional  por  dejar de emitir un programa en la parrilla de programacion debido a que no llega a tiempo , no cumple con los parametros ,  o no cumple con la normatividad  vigente de la TV.</t>
  </si>
  <si>
    <t>Revisar diariamente la parrilla, actualizar los cambios que se generen y recalcar a las productoras la necesidad de cumplir con horarios y dias de entrega de los programas.
Incluir en  los convenios y/o contratos la cláusula informativa que de necesitar el espacio de emisión asignado por alguna circunstancia  TP podrá utilizarlo  y será concertada entre las partes la reprogramación de la emisión.</t>
  </si>
  <si>
    <t xml:space="preserve"> falta de revisión del revisor, descuido del administrador del play list  y/o falta de revision del operador de emisión.</t>
  </si>
  <si>
    <t xml:space="preserve">Mala claqueta interna, por marcación errada del nombre del archivo,    de video.
Codificacion Errada 
o duplicidad de archivo de video 
</t>
  </si>
  <si>
    <t>Posibilidad de riesgo econominco y reputacional  por  emitir una referencia desactualizada de un programa que está en la parrilla debido a que no llega la informacion clara del cliente o vendedor o error humano al digitar la referencia correcta  en la continuidad de emision y/o parrilla.</t>
  </si>
  <si>
    <t>Revisión de claqueta interna en contraste con contenidos y ubicación del clip a emitir  por parte de los revisores de contenido. No autorizar entrega de material directamente a emisión.</t>
  </si>
  <si>
    <t>Gestión de Producción</t>
  </si>
  <si>
    <t xml:space="preserve">Objetivo:  Realizar la producción de un programa o producto audiovisual   </t>
  </si>
  <si>
    <t>Inicia con la preproducción del programa o producto audiovisual y termina con la entrega de la señal audiovisual o entorte de la misma y archivo correspondiente.</t>
  </si>
  <si>
    <t>Fallo en los dispositivos de almacenamiento</t>
  </si>
  <si>
    <t>Falta de mantenimiento de equipos de almacenamiento</t>
  </si>
  <si>
    <t>Posibilidad de afectación económica por daño en los videos contenidos en el material audiovisual formato Digital existente. Debido a deficiencia de los dispositivos de almacenamiento y/o los equipos de grabación.</t>
  </si>
  <si>
    <t>Monitoreo y Backup diario de la ingesta de material audiovisual requerido por los programas</t>
  </si>
  <si>
    <t>Solicitar a Videoteca la actualización y mantenimiento del Hardware y  el software de almacenamiento del material audiovisual</t>
  </si>
  <si>
    <t>Producción</t>
  </si>
  <si>
    <t>no evidencia de cesion de derechos</t>
  </si>
  <si>
    <t>Falta de implementación de procesos internos y responsabilidad sobre las políticas generales sobre cesion de derechos de autor. vigentes a nivel interno, nacional e internacional</t>
  </si>
  <si>
    <t>Posibilidad de afectación económica y reputacional por el incumplimiento de normas sobre propiedad intelectual y derechos de autor. Debido a la no evidencia de cesión de derechos</t>
  </si>
  <si>
    <t xml:space="preserve">Politicas claras sobre procesos internos y responsabilidad </t>
  </si>
  <si>
    <t>Solicitar a jurídica que incluya en los contratos una clausula de responsabilidad a todo el presonal que tenga acceso al sistema de información MAM</t>
  </si>
  <si>
    <t>Gestión Administrativa</t>
  </si>
  <si>
    <t>Brindar asesoría y soporte en los procedimientos de adquisición, mantenimiento y administración de los recursos físicos y documentos de la empresa.</t>
  </si>
  <si>
    <t>Inicia con la requisición de un documento, bien o servicio y finaliza con la entrega de lo requerido .</t>
  </si>
  <si>
    <t xml:space="preserve">No solicitar con anticipación la salidas de los equipos al Almacén </t>
  </si>
  <si>
    <t>Falta de planeación  en la programacion de los equipos</t>
  </si>
  <si>
    <t xml:space="preserve">Posibilidad de Riesgo economico y reputacional por  Retraso en la salida de activos  y  equipos para la transmisión debido a que  se  solicitan con autorización via telefonica para la respectiva salida. </t>
  </si>
  <si>
    <t xml:space="preserve">Socializacion del procedimiento de Salida e ingreso de equipos con el fin de generar   Conciencia  a los colaboradores de Telepacifico, sobre la importancia de la planeación  y dado el caso en que se presente imprevistos  guiarnos por los controles existentes para minimizar los retrasos. </t>
  </si>
  <si>
    <t>Falta de actualizacion de de los inventarios del canal</t>
  </si>
  <si>
    <t>Falta de Seguimiento de los activos que ingresan y salen del canal</t>
  </si>
  <si>
    <t xml:space="preserve">Posibilidad de riesgo econominco por Faltantes de activos en los inventarios del canal  </t>
  </si>
  <si>
    <t xml:space="preserve">1. Establecer responsabilidades en la asignación de los equipos 
2. Sensibilizar a los funcionarios y contratistas sobre la importancia del buen uso de los equipos a su cargo 
</t>
  </si>
  <si>
    <t>Administración del Recurso Humano.</t>
  </si>
  <si>
    <t xml:space="preserve">
Objetivo:  Brindar asesoría y soporte en los procedimientos relativos al personal de planta, dando a conocer generalidades del recurso humano.</t>
  </si>
  <si>
    <t>Inicia con la requisicion de personal y finaliza con la ejecucion de los planes de capacitacion</t>
  </si>
  <si>
    <t>Manejo inadecuado de los Elementos de proteccion personal u trabajo en alturas</t>
  </si>
  <si>
    <t>Posibilidad de Riesgo economico y reputacional por Mutilaciones, lesiones personales graves, muerte. Incapacidades temporales o permanentes. debido No uso o al uso inadecuado de los elementos de proteccion personal</t>
  </si>
  <si>
    <t xml:space="preserve">1. Sensibilizar a los funcionarios  sobre el uso adecuado de los elementos de protección personal, asistinedo al reentrenamiento anual para la actualización de trabajo altuaras.                                                   
</t>
  </si>
  <si>
    <t>Facturacion, Cartera y Tesoreria</t>
  </si>
  <si>
    <t xml:space="preserve"> Registrar y administrar los recursos económicos que genera el Canal con el fin de optimizarlos, cumpliendo con los compromisos y minimizando riesgos.</t>
  </si>
  <si>
    <t>Este proceso inicia con al consolidación y evaluación del presupuesto y finaliza con el análisis y proyecciones financieras.</t>
  </si>
  <si>
    <t>Generacion de informes financieros incompletos y no confiables, error en la toma e decisiones.
Requirimientos de los diferentes organos de control, multas, intereses, sanciones.</t>
  </si>
  <si>
    <t>No reporte de los servicios  prestados en el mismo periodo que se ejecutan</t>
  </si>
  <si>
    <t>Posibilidad de afectacion economico por los servicios prestados y no facturados en el periodo que se deben causar</t>
  </si>
  <si>
    <t>Desarrollar segumiento al planeador de Eventos y procedimiento de la facturacion</t>
  </si>
  <si>
    <t>Detrimento patrimonial, se afecta la liquidez de la empresa.</t>
  </si>
  <si>
    <t>Incremento de clientes de difícil cobro</t>
  </si>
  <si>
    <t>Posibilidad de afectacion economico por Incobrabilidad de la cartera</t>
  </si>
  <si>
    <t>Generación de Informes de análisis y evaluación de los resultados de Cartera.</t>
  </si>
  <si>
    <t>Intensificación de la Gestión de Cobranza- Desarrollar comité de cartera</t>
  </si>
  <si>
    <t>Aplicaciòn inadecuada o equivocada del pago</t>
  </si>
  <si>
    <t>Proceso manual, que
puede generar
registros erróneos</t>
  </si>
  <si>
    <t>Posibilidad de afectacion economico por la Incorrecta identificaciòn del tercero en el pago</t>
  </si>
  <si>
    <t xml:space="preserve"> Realizar control dual de la actividad plena de que el cliente al que se elabora el documento de pago es el mismo cliente deudor.</t>
  </si>
  <si>
    <t>Ineficencia operativa, no atencion oportuna de pagos.</t>
  </si>
  <si>
    <t xml:space="preserve">Desconocimiento del flujo del dinero </t>
  </si>
  <si>
    <t xml:space="preserve">Posibilidad de afectacion economica por la Iliquidez </t>
  </si>
  <si>
    <t>Revisar periodicamente procedimiento de Administración de flujo de caja y del portafolio de inversiones.</t>
  </si>
  <si>
    <t>Realizar flujo de caja proyectado.</t>
  </si>
  <si>
    <t>Perdidas económicas.</t>
  </si>
  <si>
    <t xml:space="preserve">Descuido en el manejo del dinero </t>
  </si>
  <si>
    <t>Posibilidad de afectacion economica por el Hurto monetario</t>
  </si>
  <si>
    <t xml:space="preserve"> Desarrollar seguimiento al plan de control ( Gestion de pagos a terceros).</t>
  </si>
  <si>
    <t>Hacer seguimiento a las cuentas bancarias y cajas menores.</t>
  </si>
  <si>
    <t>Formato Mapa Riesgos  de Gestión 2024</t>
  </si>
  <si>
    <t>Financiero</t>
  </si>
  <si>
    <t>Planear, registrar, consolidar y suministrar la informacion financiera necesaria que permita una oportuna toma de decisiones por parte de la alta Direccion y el seguimiento de la gestion.</t>
  </si>
  <si>
    <t>Cierre tardío</t>
  </si>
  <si>
    <t>Entrega Extemporanea de los dicumentos</t>
  </si>
  <si>
    <t>Posibilidad de Afectacion economica y reputacional por cierre extemporaneo debido a la entrega extemporanea de los documentos soporte de las operaciones financieras y economicas</t>
  </si>
  <si>
    <t>Emitir calendario periodico de Cierre para el año 2024</t>
  </si>
  <si>
    <t>registro inadecuado de la Informacion en el aplicativo financiero</t>
  </si>
  <si>
    <t>Documentos recepcionados no son idoneos y /o no cumplen con la normatividad</t>
  </si>
  <si>
    <t xml:space="preserve">Posibilidad de Afectacion economica y reputacional por registro inadecuado de la información al aplicativo financiero debiado a que los documentos recepcionados de la operación diaria no son idoneos y no cumplen con la normatividad vigente </t>
  </si>
  <si>
    <t>Revisar que los documentos producidos por las diferentes areas sean idoneos y cumplan con los requisitos legales.</t>
  </si>
  <si>
    <t>Infomación no confiable, duplicidad de trabajo, represamiento de procesos.</t>
  </si>
  <si>
    <t>Manejo inadecuado de los CeCo</t>
  </si>
  <si>
    <t xml:space="preserve">Posibilidad de afectacion en los resultados de los analisis por la distribucion improcedente del gasto por centros de costos </t>
  </si>
  <si>
    <t>Seguimiento de los valores en el estado de Resultados y Ejecucion</t>
  </si>
  <si>
    <t>Requerimientos multas y sanciones.</t>
  </si>
  <si>
    <t>No tener claridad de las fechas de vencimiento que emiten los diferentes entes para la presentación de informes legales, contables y tributarios</t>
  </si>
  <si>
    <t>Posibilidad de afectacion en el cumplimiento en la rendición y presentación en plazos de informes y documentos a los entes de inspección, control y vigilancia de la entidad.</t>
  </si>
  <si>
    <t>Seguimiento a las fechas de los diferentes  informes y documentos a los entes de inspeccion, control y vigilancia de la entidad.</t>
  </si>
  <si>
    <t>No tener claridad de las fechas de vencimiento que emite la Contraloría Departamental para el Cierre Fiscal.</t>
  </si>
  <si>
    <t xml:space="preserve">Comunicación o divulgacion deficiente de las fechas </t>
  </si>
  <si>
    <t>Posibilidad de afectacion economica y Reputacional por Incumplimiento en la rendición y presentación en el  plazo de la rendición del Cierre Fiscal ante la Contraloria Departamental debido a  No tener claridad de las fechas de vencimiento que emite la Contraloría Departamental para el Cierre Fiscal.</t>
  </si>
  <si>
    <t xml:space="preserve">Socializar las fechas de entrega de la información para el desarrollo del acta del Cierre Fiscal.                                                                                                                                                                Diligenciar los formatos y Anexos de la rendición del Cierre Fiscal en la Plataforma de SIA Contraloría.   </t>
  </si>
  <si>
    <t>Gestión de Emisión y Transmisión</t>
  </si>
  <si>
    <t>Emitir la señal de Televisión y garantizar la buena Calidad de su recepción en los equipos receptores de televisión de los televidentes.</t>
  </si>
  <si>
    <t>Inicia con la verificación de la programación a emitir y termina con el control de la transmisión.</t>
  </si>
  <si>
    <t xml:space="preserve">Fallas fluido eléctrico.
Fallas en el satélite.
Fallas por fenómenos naturales.
</t>
  </si>
  <si>
    <t xml:space="preserve">Posibilidad de afectacion economica y reputacional  por fallas de la señal audiovisual al aire debido a  fallas del fluido electrico, satelite o fenomenos naturales </t>
  </si>
  <si>
    <t>Daños en el fluido electrico ,  la planta electrica Y UPS</t>
  </si>
  <si>
    <t>Gestión Operativa y Tecnológica</t>
  </si>
  <si>
    <t>Objetivo:Garantizar el funcionamiento de la infraestructura tecnológica para el normal funcionamiento del canal.</t>
  </si>
  <si>
    <t>Inicia con la elaboracion del plan de mantenimiento preventivo y finaliza con la presentación de propuestas para la adquisición de equipos, software, insumos y servicios.</t>
  </si>
  <si>
    <t>Daño en Hardware y Software de los servidores.</t>
  </si>
  <si>
    <t xml:space="preserve">Falta de mantenimientos, Daños en componentes electricos, obsolencia tecnologica , etc </t>
  </si>
  <si>
    <t xml:space="preserve">Posibilidad de afectacion economica y reputacional por a perdida de informacion de los servidores  debido a  los daños de la infraestructura TI del Canal </t>
  </si>
  <si>
    <t>1. Contratación de soporte técnico especializado. 
2. Cronograma de revisión y mantenimiento preventivo.
3. Contratacion de custodia de medios magnéticos en ubicaciones externas al canal.
4. Ejecución de copias de seguridad periódicas en medios físicos y en los servidores TI.
5. Revisión periodica del funcionamiento de los servidores de la plataforma TI.</t>
  </si>
  <si>
    <t>Gestión de Jurídica</t>
  </si>
  <si>
    <t xml:space="preserve">Asesorar en los aspectos legales, administrativos, disciplinarios, conciliaciones y procesos contractuales a las diferentes áreas del Canal.  </t>
  </si>
  <si>
    <t>Inicia cuando se recibe una solicitud o requerimiento para orientación, actualización, tramite disciplinario o administrativo, contratación y conciliación, y termina con la atención a estos requerimientos</t>
  </si>
  <si>
    <t>Falta de revisión normativo</t>
  </si>
  <si>
    <t xml:space="preserve">Desconocimiento de los involucrados </t>
  </si>
  <si>
    <t>Posibilidad de afectación economica y reputacional, por multas o sanciones debido a la falta de conocimiento en la normatividad a aplicar</t>
  </si>
  <si>
    <t>Se realiza socialización y capacitación al personal vinculado a la entidad de su papel y las consecuencias de sus actos frente a terceros en representación del canal y temas afines.</t>
  </si>
  <si>
    <t>Realizar socialización al personal vinculado a la entidad de su papel y las consecuencias de sus actos frente a terceros en representación del canal y temas afines.</t>
  </si>
  <si>
    <t xml:space="preserve">Direccion Juridica </t>
  </si>
  <si>
    <t>Primer semestre 2024</t>
  </si>
  <si>
    <t>Falta de control</t>
  </si>
  <si>
    <t>Demora en la entrega de dociumentos al área para su publicación</t>
  </si>
  <si>
    <t>Posibilidad de afectación reputacional por hallazgos por el incumplimiento  debido a la demora de la publicacion de actos administrativos en los terminos legales  y en la liquidacion de los contratos</t>
  </si>
  <si>
    <t xml:space="preserve">Revisión permanente de los contratos terminados y solicitar de cada área el cumplimiento de ello, mediante llamadas y correos electronicos </t>
  </si>
  <si>
    <t>Revisión eficaz de la información a rendir</t>
  </si>
  <si>
    <t>Posible afectación económica por multa y/o sanción del ente regulador debido a que la información rendida en la plataforma de la contraloría departamental- en el componente Juridico-Legal- no coincida o no sea coherente con la información que reposa en la Entidad.</t>
  </si>
  <si>
    <t xml:space="preserve">Revisión permanente de los contratos elaborados y a rendir </t>
  </si>
  <si>
    <t xml:space="preserve">1. Seguimiento al mantenimiento preventivo y correctivo que se realiza a la Planta electrica.
1.1 Verificar que no exista fuga o daño sobre el  enmallado externo a la subestación.
1.2. Mantenimiento preventivo a las UPS.
1.3. Registro de las fallas de la señal al 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</si>
</sst>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F9900"/>
      </left>
      <right style="dotted">
        <color rgb="FFFF9900"/>
      </right>
      <top style="dotted">
        <color rgb="FFFF9900"/>
      </top>
      <bottom style="dotted">
        <color rgb="FFFF9900"/>
      </bottom>
      <diagonal/>
    </border>
    <border>
      <left/>
      <right style="dotted">
        <color rgb="FFFF9900"/>
      </right>
      <top style="dashed">
        <color theme="9" tint="-0.24994659260841701"/>
      </top>
      <bottom/>
      <diagonal/>
    </border>
    <border>
      <left/>
      <right style="dotted">
        <color rgb="FFFF9900"/>
      </right>
      <top/>
      <bottom/>
      <diagonal/>
    </border>
    <border>
      <left/>
      <right style="dashed">
        <color theme="9" tint="-0.24994659260841701"/>
      </right>
      <top/>
      <bottom/>
      <diagonal/>
    </border>
    <border>
      <left/>
      <right style="dotted">
        <color rgb="FFFF9900"/>
      </right>
      <top/>
      <bottom style="dashed">
        <color theme="9" tint="-0.24994659260841701"/>
      </bottom>
      <diagonal/>
    </border>
    <border>
      <left style="dotted">
        <color rgb="FFFF9900"/>
      </left>
      <right style="dashed">
        <color theme="9" tint="-0.24994659260841701"/>
      </right>
      <top/>
      <bottom/>
      <diagonal/>
    </border>
    <border>
      <left style="dotted">
        <color rgb="FFFF9900"/>
      </left>
      <right style="dashed">
        <color theme="9" tint="-0.24994659260841701"/>
      </right>
      <top/>
      <bottom style="dashed">
        <color theme="9" tint="-0.24994659260841701"/>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2" xfId="0" applyFont="1" applyBorder="1" applyAlignment="1" applyProtection="1">
      <alignment horizontal="center" vertical="center"/>
    </xf>
    <xf numFmtId="164" fontId="1" fillId="0" borderId="2" xfId="1" applyNumberFormat="1" applyFont="1" applyBorder="1" applyAlignment="1">
      <alignment horizontal="center" vertical="center"/>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0" fontId="4" fillId="0" borderId="4" xfId="0" applyFont="1" applyFill="1" applyBorder="1" applyAlignment="1" applyProtection="1">
      <alignment horizontal="center" vertical="center" textRotation="90" wrapText="1"/>
      <protection hidden="1"/>
    </xf>
    <xf numFmtId="9" fontId="1" fillId="0" borderId="4" xfId="0" applyNumberFormat="1" applyFont="1" applyFill="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protection hidden="1"/>
    </xf>
    <xf numFmtId="0" fontId="1" fillId="0" borderId="2" xfId="0" applyFont="1" applyBorder="1" applyAlignment="1">
      <alignment horizontal="center" vertical="center"/>
    </xf>
    <xf numFmtId="0" fontId="6" fillId="0" borderId="4" xfId="0" applyFont="1" applyBorder="1" applyAlignment="1" applyProtection="1">
      <alignment vertical="center" wrapText="1"/>
      <protection locked="0"/>
    </xf>
    <xf numFmtId="0" fontId="1" fillId="0" borderId="4" xfId="0" applyFont="1" applyBorder="1" applyAlignment="1" applyProtection="1">
      <alignment vertical="center" textRotation="90"/>
      <protection locked="0"/>
    </xf>
    <xf numFmtId="9" fontId="1" fillId="0" borderId="4" xfId="0" applyNumberFormat="1" applyFont="1" applyBorder="1" applyAlignment="1" applyProtection="1">
      <alignment vertical="center"/>
      <protection hidden="1"/>
    </xf>
    <xf numFmtId="0" fontId="4" fillId="0" borderId="4" xfId="0" applyFont="1" applyFill="1" applyBorder="1" applyAlignment="1" applyProtection="1">
      <alignment vertical="center" textRotation="90" wrapText="1"/>
      <protection hidden="1"/>
    </xf>
    <xf numFmtId="9" fontId="1" fillId="0" borderId="4" xfId="0" applyNumberFormat="1" applyFont="1" applyFill="1" applyBorder="1" applyAlignment="1" applyProtection="1">
      <alignment vertical="center"/>
      <protection hidden="1"/>
    </xf>
    <xf numFmtId="0" fontId="6" fillId="0" borderId="5" xfId="0" applyFont="1" applyBorder="1" applyAlignment="1" applyProtection="1">
      <alignment vertical="center" wrapText="1"/>
      <protection locked="0"/>
    </xf>
    <xf numFmtId="0" fontId="1" fillId="0" borderId="2" xfId="0" applyFont="1" applyBorder="1" applyAlignment="1" applyProtection="1">
      <alignment horizontal="center" vertical="center"/>
      <protection hidden="1"/>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wrapText="1"/>
      <protection locked="0"/>
    </xf>
    <xf numFmtId="164" fontId="1" fillId="9" borderId="2" xfId="1" applyNumberFormat="1" applyFont="1" applyFill="1" applyBorder="1" applyAlignment="1">
      <alignment horizontal="center" vertical="center"/>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 fillId="0" borderId="4" xfId="0" applyFont="1" applyFill="1" applyBorder="1" applyAlignment="1" applyProtection="1">
      <alignment horizontal="center" vertical="center" textRotation="90" wrapText="1"/>
      <protection hidden="1"/>
    </xf>
    <xf numFmtId="0" fontId="4" fillId="0" borderId="5" xfId="0" applyFont="1" applyFill="1" applyBorder="1" applyAlignment="1" applyProtection="1">
      <alignment horizontal="center" vertical="center" textRotation="90" wrapText="1"/>
      <protection hidden="1"/>
    </xf>
    <xf numFmtId="9" fontId="1" fillId="0" borderId="4" xfId="0" applyNumberFormat="1" applyFont="1" applyFill="1" applyBorder="1" applyAlignment="1" applyProtection="1">
      <alignment horizontal="center" vertical="center"/>
      <protection hidden="1"/>
    </xf>
    <xf numFmtId="9" fontId="1" fillId="0" borderId="5" xfId="0" applyNumberFormat="1" applyFont="1" applyFill="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14" fontId="1" fillId="0" borderId="4" xfId="0" applyNumberFormat="1" applyFont="1" applyBorder="1" applyAlignment="1" applyProtection="1">
      <alignment horizontal="center" vertical="top"/>
      <protection locked="0"/>
    </xf>
    <xf numFmtId="14" fontId="1" fillId="0" borderId="5" xfId="0" applyNumberFormat="1" applyFont="1" applyBorder="1" applyAlignment="1" applyProtection="1">
      <alignment horizontal="center" vertical="top"/>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8"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8"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31"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1" fillId="3" borderId="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8" fillId="3" borderId="6" xfId="0" applyFont="1" applyFill="1" applyBorder="1" applyAlignment="1" applyProtection="1">
      <alignment horizontal="justify" vertical="center"/>
      <protection locked="0"/>
    </xf>
    <xf numFmtId="0" fontId="8" fillId="3" borderId="10" xfId="0" applyFont="1" applyFill="1" applyBorder="1" applyAlignment="1" applyProtection="1">
      <alignment horizontal="justify" vertical="center"/>
      <protection locked="0"/>
    </xf>
    <xf numFmtId="0" fontId="8" fillId="3" borderId="7" xfId="0" applyFont="1" applyFill="1" applyBorder="1" applyAlignment="1" applyProtection="1">
      <alignment horizontal="justify" vertical="center"/>
      <protection locked="0"/>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0" fontId="2" fillId="0" borderId="5" xfId="0" applyFont="1" applyBorder="1" applyAlignment="1" applyProtection="1">
      <alignment horizontal="justify" vertical="center" wrapText="1"/>
      <protection locked="0"/>
    </xf>
    <xf numFmtId="0" fontId="1" fillId="0" borderId="8" xfId="0"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8" xfId="0" applyFont="1" applyFill="1" applyBorder="1" applyAlignment="1" applyProtection="1">
      <alignment horizontal="center" vertical="center" textRotation="90" wrapText="1"/>
      <protection hidden="1"/>
    </xf>
    <xf numFmtId="9" fontId="1" fillId="0" borderId="8" xfId="0" applyNumberFormat="1" applyFont="1" applyFill="1" applyBorder="1" applyAlignment="1" applyProtection="1">
      <alignment horizontal="center" vertical="center"/>
      <protection hidden="1"/>
    </xf>
    <xf numFmtId="0" fontId="4" fillId="0" borderId="8" xfId="0" applyFont="1" applyBorder="1" applyAlignment="1" applyProtection="1">
      <alignment horizontal="center" vertical="center" textRotation="90"/>
      <protection hidden="1"/>
    </xf>
    <xf numFmtId="0" fontId="1" fillId="0" borderId="8" xfId="0" applyFont="1" applyBorder="1" applyAlignment="1" applyProtection="1">
      <alignment horizontal="center" vertical="center" textRotation="90"/>
      <protection locked="0"/>
    </xf>
    <xf numFmtId="14" fontId="1" fillId="0" borderId="8" xfId="0" applyNumberFormat="1" applyFont="1" applyBorder="1" applyAlignment="1" applyProtection="1">
      <alignment horizontal="center" vertical="top"/>
      <protection locked="0"/>
    </xf>
    <xf numFmtId="9" fontId="1" fillId="0" borderId="8" xfId="0" applyNumberFormat="1" applyFont="1" applyBorder="1" applyAlignment="1" applyProtection="1">
      <alignment horizontal="center" vertical="center"/>
      <protection hidden="1"/>
    </xf>
    <xf numFmtId="164" fontId="1" fillId="0" borderId="8" xfId="1" applyNumberFormat="1" applyFont="1" applyBorder="1" applyAlignment="1">
      <alignment horizontal="center" vertical="center"/>
    </xf>
    <xf numFmtId="0" fontId="4" fillId="0" borderId="2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 fillId="0" borderId="75" xfId="0" applyFont="1" applyBorder="1" applyAlignment="1" applyProtection="1">
      <alignment horizontal="center" vertical="center"/>
    </xf>
    <xf numFmtId="0" fontId="1" fillId="0" borderId="76" xfId="0" applyFont="1" applyBorder="1" applyAlignment="1" applyProtection="1">
      <alignment horizontal="justify" vertical="center" wrapText="1"/>
      <protection hidden="1"/>
    </xf>
    <xf numFmtId="0" fontId="1" fillId="0" borderId="77" xfId="0" applyFont="1" applyBorder="1" applyAlignment="1" applyProtection="1">
      <alignment horizontal="justify" vertical="center" wrapText="1"/>
      <protection hidden="1"/>
    </xf>
    <xf numFmtId="0" fontId="1" fillId="0" borderId="79" xfId="0" applyFont="1" applyBorder="1" applyAlignment="1" applyProtection="1">
      <alignment horizontal="justify" vertical="center" wrapText="1"/>
      <protection hidden="1"/>
    </xf>
    <xf numFmtId="0" fontId="1" fillId="0" borderId="75" xfId="0" applyFont="1" applyBorder="1" applyAlignment="1" applyProtection="1">
      <alignment horizontal="center" vertical="center"/>
      <protection hidden="1"/>
    </xf>
    <xf numFmtId="0" fontId="1" fillId="0" borderId="30" xfId="0" applyFont="1" applyBorder="1" applyAlignment="1" applyProtection="1">
      <alignment horizontal="center" vertical="center" textRotation="90"/>
      <protection locked="0"/>
    </xf>
    <xf numFmtId="0" fontId="1" fillId="0" borderId="78" xfId="0" applyFont="1" applyBorder="1" applyAlignment="1" applyProtection="1">
      <alignment horizontal="center" vertical="center" textRotation="90"/>
      <protection locked="0"/>
    </xf>
    <xf numFmtId="0" fontId="1" fillId="0" borderId="32" xfId="0" applyFont="1" applyBorder="1" applyAlignment="1" applyProtection="1">
      <alignment horizontal="center" vertical="center" textRotation="90"/>
      <protection locked="0"/>
    </xf>
    <xf numFmtId="0" fontId="1" fillId="0" borderId="28" xfId="0" applyFont="1" applyBorder="1" applyAlignment="1" applyProtection="1">
      <alignment horizontal="justify" vertical="center" wrapText="1"/>
      <protection hidden="1"/>
    </xf>
    <xf numFmtId="0" fontId="1" fillId="0" borderId="9" xfId="0" applyFont="1" applyBorder="1" applyAlignment="1" applyProtection="1">
      <alignment horizontal="justify" vertical="center" wrapText="1"/>
      <protection hidden="1"/>
    </xf>
    <xf numFmtId="0" fontId="1" fillId="0" borderId="3" xfId="0" applyFont="1" applyBorder="1" applyAlignment="1" applyProtection="1">
      <alignment horizontal="justify" vertical="center" wrapText="1"/>
      <protection hidden="1"/>
    </xf>
    <xf numFmtId="0" fontId="1" fillId="0" borderId="80" xfId="0" applyFont="1" applyBorder="1" applyAlignment="1" applyProtection="1">
      <alignment horizontal="left" vertical="center"/>
      <protection hidden="1"/>
    </xf>
    <xf numFmtId="0" fontId="1" fillId="0" borderId="81" xfId="0" applyFont="1" applyBorder="1" applyAlignment="1" applyProtection="1">
      <alignment horizontal="left" vertical="center"/>
      <protection hidden="1"/>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14" fontId="1" fillId="0" borderId="4"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9" fontId="1" fillId="0" borderId="4" xfId="0" applyNumberFormat="1" applyFont="1" applyFill="1" applyBorder="1" applyAlignment="1" applyProtection="1">
      <alignment horizontal="center" vertical="center" wrapText="1"/>
      <protection locked="0"/>
    </xf>
    <xf numFmtId="9" fontId="1" fillId="0" borderId="8" xfId="0" applyNumberFormat="1" applyFont="1" applyFill="1" applyBorder="1" applyAlignment="1" applyProtection="1">
      <alignment horizontal="center" vertical="center" wrapText="1"/>
      <protection locked="0"/>
    </xf>
    <xf numFmtId="9" fontId="1" fillId="0"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13" borderId="4" xfId="0" applyFont="1" applyFill="1" applyBorder="1" applyAlignment="1" applyProtection="1">
      <alignment horizontal="center" vertical="center" wrapText="1"/>
      <protection locked="0"/>
    </xf>
    <xf numFmtId="0" fontId="6" fillId="13"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95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2.%20Mapa%20Riesgos%20Gestion%20de%20Calida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13.%20Mapa%20Riesgos%20Operativa%20y%20Tec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14.%20Mapa%20de%20Riesgos%20Gestion%20Leg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3.%20Mapa%20Riesgos%20Control%20Inter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5.%20Mapa%20Riesgos%20progra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6.%20Mapa%20Riesgos%20produc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7.%20Mapa%20Riesgos%20ADMI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8.%20Mapa%20Riesgos%20RRH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10.%20Mapa%20de%20Riesgos%20de%20Gesti&#243;n%20-%20F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11.%20Mapa%20de%20Riesgos%20de%20Gestion%20-F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lan%20Anticorrupci&#243;n%20y%20Atenc%20al%20Ciudadano%20PAAC\2024\12.%20Mapa%20Riesgos%20Gestion%20de%20Emisi&#243;n%20y%20Trasm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9" zoomScale="110" zoomScaleNormal="110" workbookViewId="0">
      <selection activeCell="F11" sqref="F11"/>
    </sheetView>
  </sheetViews>
  <sheetFormatPr baseColWidth="10"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161" t="s">
        <v>163</v>
      </c>
      <c r="C2" s="162"/>
      <c r="D2" s="162"/>
      <c r="E2" s="162"/>
      <c r="F2" s="162"/>
      <c r="G2" s="162"/>
      <c r="H2" s="163"/>
    </row>
    <row r="3" spans="2:8" x14ac:dyDescent="0.25">
      <c r="B3" s="83"/>
      <c r="C3" s="84"/>
      <c r="D3" s="84"/>
      <c r="E3" s="84"/>
      <c r="F3" s="84"/>
      <c r="G3" s="84"/>
      <c r="H3" s="85"/>
    </row>
    <row r="4" spans="2:8" ht="63" customHeight="1" x14ac:dyDescent="0.25">
      <c r="B4" s="164" t="s">
        <v>206</v>
      </c>
      <c r="C4" s="165"/>
      <c r="D4" s="165"/>
      <c r="E4" s="165"/>
      <c r="F4" s="165"/>
      <c r="G4" s="165"/>
      <c r="H4" s="166"/>
    </row>
    <row r="5" spans="2:8" ht="60.75" customHeight="1" x14ac:dyDescent="0.25">
      <c r="B5" s="167"/>
      <c r="C5" s="168"/>
      <c r="D5" s="168"/>
      <c r="E5" s="168"/>
      <c r="F5" s="168"/>
      <c r="G5" s="168"/>
      <c r="H5" s="169"/>
    </row>
    <row r="6" spans="2:8" ht="16.5" x14ac:dyDescent="0.25">
      <c r="B6" s="170" t="s">
        <v>161</v>
      </c>
      <c r="C6" s="171"/>
      <c r="D6" s="171"/>
      <c r="E6" s="171"/>
      <c r="F6" s="171"/>
      <c r="G6" s="171"/>
      <c r="H6" s="172"/>
    </row>
    <row r="7" spans="2:8" ht="95.25" customHeight="1" x14ac:dyDescent="0.25">
      <c r="B7" s="180" t="s">
        <v>166</v>
      </c>
      <c r="C7" s="181"/>
      <c r="D7" s="181"/>
      <c r="E7" s="181"/>
      <c r="F7" s="181"/>
      <c r="G7" s="181"/>
      <c r="H7" s="182"/>
    </row>
    <row r="8" spans="2:8" ht="16.5" x14ac:dyDescent="0.25">
      <c r="B8" s="120"/>
      <c r="C8" s="121"/>
      <c r="D8" s="121"/>
      <c r="E8" s="121"/>
      <c r="F8" s="121"/>
      <c r="G8" s="121"/>
      <c r="H8" s="122"/>
    </row>
    <row r="9" spans="2:8" ht="16.5" customHeight="1" x14ac:dyDescent="0.25">
      <c r="B9" s="173" t="s">
        <v>199</v>
      </c>
      <c r="C9" s="174"/>
      <c r="D9" s="174"/>
      <c r="E9" s="174"/>
      <c r="F9" s="174"/>
      <c r="G9" s="174"/>
      <c r="H9" s="175"/>
    </row>
    <row r="10" spans="2:8" ht="44.25" customHeight="1" x14ac:dyDescent="0.25">
      <c r="B10" s="173"/>
      <c r="C10" s="174"/>
      <c r="D10" s="174"/>
      <c r="E10" s="174"/>
      <c r="F10" s="174"/>
      <c r="G10" s="174"/>
      <c r="H10" s="175"/>
    </row>
    <row r="11" spans="2:8" ht="15.75" thickBot="1" x14ac:dyDescent="0.3">
      <c r="B11" s="108"/>
      <c r="C11" s="111"/>
      <c r="D11" s="116"/>
      <c r="E11" s="117"/>
      <c r="F11" s="117"/>
      <c r="G11" s="118"/>
      <c r="H11" s="119"/>
    </row>
    <row r="12" spans="2:8" ht="15.75" thickTop="1" x14ac:dyDescent="0.25">
      <c r="B12" s="108"/>
      <c r="C12" s="176" t="s">
        <v>162</v>
      </c>
      <c r="D12" s="177"/>
      <c r="E12" s="178" t="s">
        <v>200</v>
      </c>
      <c r="F12" s="179"/>
      <c r="G12" s="111"/>
      <c r="H12" s="112"/>
    </row>
    <row r="13" spans="2:8" ht="35.25" customHeight="1" x14ac:dyDescent="0.25">
      <c r="B13" s="108"/>
      <c r="C13" s="183" t="s">
        <v>193</v>
      </c>
      <c r="D13" s="184"/>
      <c r="E13" s="185" t="s">
        <v>198</v>
      </c>
      <c r="F13" s="186"/>
      <c r="G13" s="111"/>
      <c r="H13" s="112"/>
    </row>
    <row r="14" spans="2:8" ht="17.25" customHeight="1" x14ac:dyDescent="0.25">
      <c r="B14" s="108"/>
      <c r="C14" s="183" t="s">
        <v>194</v>
      </c>
      <c r="D14" s="184"/>
      <c r="E14" s="185" t="s">
        <v>196</v>
      </c>
      <c r="F14" s="186"/>
      <c r="G14" s="111"/>
      <c r="H14" s="112"/>
    </row>
    <row r="15" spans="2:8" ht="19.5" customHeight="1" x14ac:dyDescent="0.25">
      <c r="B15" s="108"/>
      <c r="C15" s="183" t="s">
        <v>195</v>
      </c>
      <c r="D15" s="184"/>
      <c r="E15" s="185" t="s">
        <v>197</v>
      </c>
      <c r="F15" s="186"/>
      <c r="G15" s="111"/>
      <c r="H15" s="112"/>
    </row>
    <row r="16" spans="2:8" ht="69.75" customHeight="1" x14ac:dyDescent="0.25">
      <c r="B16" s="108"/>
      <c r="C16" s="183" t="s">
        <v>164</v>
      </c>
      <c r="D16" s="184"/>
      <c r="E16" s="185" t="s">
        <v>165</v>
      </c>
      <c r="F16" s="186"/>
      <c r="G16" s="111"/>
      <c r="H16" s="112"/>
    </row>
    <row r="17" spans="2:8" ht="34.5" customHeight="1" x14ac:dyDescent="0.25">
      <c r="B17" s="108"/>
      <c r="C17" s="187" t="s">
        <v>2</v>
      </c>
      <c r="D17" s="188"/>
      <c r="E17" s="189" t="s">
        <v>207</v>
      </c>
      <c r="F17" s="190"/>
      <c r="G17" s="111"/>
      <c r="H17" s="112"/>
    </row>
    <row r="18" spans="2:8" ht="27.75" customHeight="1" x14ac:dyDescent="0.25">
      <c r="B18" s="108"/>
      <c r="C18" s="187" t="s">
        <v>3</v>
      </c>
      <c r="D18" s="188"/>
      <c r="E18" s="189" t="s">
        <v>208</v>
      </c>
      <c r="F18" s="190"/>
      <c r="G18" s="111"/>
      <c r="H18" s="112"/>
    </row>
    <row r="19" spans="2:8" ht="28.5" customHeight="1" x14ac:dyDescent="0.25">
      <c r="B19" s="108"/>
      <c r="C19" s="187" t="s">
        <v>42</v>
      </c>
      <c r="D19" s="188"/>
      <c r="E19" s="189" t="s">
        <v>209</v>
      </c>
      <c r="F19" s="190"/>
      <c r="G19" s="111"/>
      <c r="H19" s="112"/>
    </row>
    <row r="20" spans="2:8" ht="72.75" customHeight="1" x14ac:dyDescent="0.25">
      <c r="B20" s="108"/>
      <c r="C20" s="187" t="s">
        <v>1</v>
      </c>
      <c r="D20" s="188"/>
      <c r="E20" s="189" t="s">
        <v>210</v>
      </c>
      <c r="F20" s="190"/>
      <c r="G20" s="111"/>
      <c r="H20" s="112"/>
    </row>
    <row r="21" spans="2:8" ht="64.5" customHeight="1" x14ac:dyDescent="0.25">
      <c r="B21" s="108"/>
      <c r="C21" s="187" t="s">
        <v>50</v>
      </c>
      <c r="D21" s="188"/>
      <c r="E21" s="189" t="s">
        <v>168</v>
      </c>
      <c r="F21" s="190"/>
      <c r="G21" s="111"/>
      <c r="H21" s="112"/>
    </row>
    <row r="22" spans="2:8" ht="71.25" customHeight="1" x14ac:dyDescent="0.25">
      <c r="B22" s="108"/>
      <c r="C22" s="187" t="s">
        <v>167</v>
      </c>
      <c r="D22" s="188"/>
      <c r="E22" s="189" t="s">
        <v>169</v>
      </c>
      <c r="F22" s="190"/>
      <c r="G22" s="111"/>
      <c r="H22" s="112"/>
    </row>
    <row r="23" spans="2:8" ht="55.5" customHeight="1" x14ac:dyDescent="0.25">
      <c r="B23" s="108"/>
      <c r="C23" s="194" t="s">
        <v>170</v>
      </c>
      <c r="D23" s="195"/>
      <c r="E23" s="189" t="s">
        <v>171</v>
      </c>
      <c r="F23" s="190"/>
      <c r="G23" s="111"/>
      <c r="H23" s="112"/>
    </row>
    <row r="24" spans="2:8" ht="42" customHeight="1" x14ac:dyDescent="0.25">
      <c r="B24" s="108"/>
      <c r="C24" s="194" t="s">
        <v>48</v>
      </c>
      <c r="D24" s="195"/>
      <c r="E24" s="189" t="s">
        <v>172</v>
      </c>
      <c r="F24" s="190"/>
      <c r="G24" s="111"/>
      <c r="H24" s="112"/>
    </row>
    <row r="25" spans="2:8" ht="59.25" customHeight="1" x14ac:dyDescent="0.25">
      <c r="B25" s="108"/>
      <c r="C25" s="194" t="s">
        <v>160</v>
      </c>
      <c r="D25" s="195"/>
      <c r="E25" s="189" t="s">
        <v>173</v>
      </c>
      <c r="F25" s="190"/>
      <c r="G25" s="111"/>
      <c r="H25" s="112"/>
    </row>
    <row r="26" spans="2:8" ht="23.25" customHeight="1" x14ac:dyDescent="0.25">
      <c r="B26" s="108"/>
      <c r="C26" s="194" t="s">
        <v>12</v>
      </c>
      <c r="D26" s="195"/>
      <c r="E26" s="189" t="s">
        <v>174</v>
      </c>
      <c r="F26" s="190"/>
      <c r="G26" s="111"/>
      <c r="H26" s="112"/>
    </row>
    <row r="27" spans="2:8" ht="30.75" customHeight="1" x14ac:dyDescent="0.25">
      <c r="B27" s="108"/>
      <c r="C27" s="194" t="s">
        <v>178</v>
      </c>
      <c r="D27" s="195"/>
      <c r="E27" s="189" t="s">
        <v>175</v>
      </c>
      <c r="F27" s="190"/>
      <c r="G27" s="111"/>
      <c r="H27" s="112"/>
    </row>
    <row r="28" spans="2:8" ht="35.25" customHeight="1" x14ac:dyDescent="0.25">
      <c r="B28" s="108"/>
      <c r="C28" s="194" t="s">
        <v>179</v>
      </c>
      <c r="D28" s="195"/>
      <c r="E28" s="189" t="s">
        <v>176</v>
      </c>
      <c r="F28" s="190"/>
      <c r="G28" s="111"/>
      <c r="H28" s="112"/>
    </row>
    <row r="29" spans="2:8" ht="33" customHeight="1" x14ac:dyDescent="0.25">
      <c r="B29" s="108"/>
      <c r="C29" s="194" t="s">
        <v>179</v>
      </c>
      <c r="D29" s="195"/>
      <c r="E29" s="189" t="s">
        <v>176</v>
      </c>
      <c r="F29" s="190"/>
      <c r="G29" s="111"/>
      <c r="H29" s="112"/>
    </row>
    <row r="30" spans="2:8" ht="30" customHeight="1" x14ac:dyDescent="0.25">
      <c r="B30" s="108"/>
      <c r="C30" s="194" t="s">
        <v>180</v>
      </c>
      <c r="D30" s="195"/>
      <c r="E30" s="189" t="s">
        <v>177</v>
      </c>
      <c r="F30" s="190"/>
      <c r="G30" s="111"/>
      <c r="H30" s="112"/>
    </row>
    <row r="31" spans="2:8" ht="35.25" customHeight="1" x14ac:dyDescent="0.25">
      <c r="B31" s="108"/>
      <c r="C31" s="194" t="s">
        <v>181</v>
      </c>
      <c r="D31" s="195"/>
      <c r="E31" s="189" t="s">
        <v>182</v>
      </c>
      <c r="F31" s="190"/>
      <c r="G31" s="111"/>
      <c r="H31" s="112"/>
    </row>
    <row r="32" spans="2:8" ht="31.5" customHeight="1" x14ac:dyDescent="0.25">
      <c r="B32" s="108"/>
      <c r="C32" s="194" t="s">
        <v>183</v>
      </c>
      <c r="D32" s="195"/>
      <c r="E32" s="189" t="s">
        <v>184</v>
      </c>
      <c r="F32" s="190"/>
      <c r="G32" s="111"/>
      <c r="H32" s="112"/>
    </row>
    <row r="33" spans="2:8" ht="35.25" customHeight="1" x14ac:dyDescent="0.25">
      <c r="B33" s="108"/>
      <c r="C33" s="194" t="s">
        <v>185</v>
      </c>
      <c r="D33" s="195"/>
      <c r="E33" s="189" t="s">
        <v>186</v>
      </c>
      <c r="F33" s="190"/>
      <c r="G33" s="111"/>
      <c r="H33" s="112"/>
    </row>
    <row r="34" spans="2:8" ht="59.25" customHeight="1" x14ac:dyDescent="0.25">
      <c r="B34" s="108"/>
      <c r="C34" s="194" t="s">
        <v>187</v>
      </c>
      <c r="D34" s="195"/>
      <c r="E34" s="189" t="s">
        <v>188</v>
      </c>
      <c r="F34" s="190"/>
      <c r="G34" s="111"/>
      <c r="H34" s="112"/>
    </row>
    <row r="35" spans="2:8" ht="29.25" customHeight="1" x14ac:dyDescent="0.25">
      <c r="B35" s="108"/>
      <c r="C35" s="194" t="s">
        <v>29</v>
      </c>
      <c r="D35" s="195"/>
      <c r="E35" s="189" t="s">
        <v>189</v>
      </c>
      <c r="F35" s="190"/>
      <c r="G35" s="111"/>
      <c r="H35" s="112"/>
    </row>
    <row r="36" spans="2:8" ht="82.5" customHeight="1" x14ac:dyDescent="0.25">
      <c r="B36" s="108"/>
      <c r="C36" s="194" t="s">
        <v>191</v>
      </c>
      <c r="D36" s="195"/>
      <c r="E36" s="189" t="s">
        <v>190</v>
      </c>
      <c r="F36" s="190"/>
      <c r="G36" s="111"/>
      <c r="H36" s="112"/>
    </row>
    <row r="37" spans="2:8" ht="46.5" customHeight="1" x14ac:dyDescent="0.25">
      <c r="B37" s="108"/>
      <c r="C37" s="194" t="s">
        <v>39</v>
      </c>
      <c r="D37" s="195"/>
      <c r="E37" s="189" t="s">
        <v>192</v>
      </c>
      <c r="F37" s="190"/>
      <c r="G37" s="111"/>
      <c r="H37" s="112"/>
    </row>
    <row r="38" spans="2:8" ht="6.75" customHeight="1" thickBot="1" x14ac:dyDescent="0.3">
      <c r="B38" s="108"/>
      <c r="C38" s="196"/>
      <c r="D38" s="197"/>
      <c r="E38" s="198"/>
      <c r="F38" s="199"/>
      <c r="G38" s="111"/>
      <c r="H38" s="112"/>
    </row>
    <row r="39" spans="2:8" ht="15.75" thickTop="1" x14ac:dyDescent="0.25">
      <c r="B39" s="108"/>
      <c r="C39" s="109"/>
      <c r="D39" s="109"/>
      <c r="E39" s="110"/>
      <c r="F39" s="110"/>
      <c r="G39" s="111"/>
      <c r="H39" s="112"/>
    </row>
    <row r="40" spans="2:8" ht="21" customHeight="1" x14ac:dyDescent="0.25">
      <c r="B40" s="191" t="s">
        <v>201</v>
      </c>
      <c r="C40" s="192"/>
      <c r="D40" s="192"/>
      <c r="E40" s="192"/>
      <c r="F40" s="192"/>
      <c r="G40" s="192"/>
      <c r="H40" s="193"/>
    </row>
    <row r="41" spans="2:8" ht="20.25" customHeight="1" x14ac:dyDescent="0.25">
      <c r="B41" s="191" t="s">
        <v>202</v>
      </c>
      <c r="C41" s="192"/>
      <c r="D41" s="192"/>
      <c r="E41" s="192"/>
      <c r="F41" s="192"/>
      <c r="G41" s="192"/>
      <c r="H41" s="193"/>
    </row>
    <row r="42" spans="2:8" ht="20.25" customHeight="1" x14ac:dyDescent="0.25">
      <c r="B42" s="191" t="s">
        <v>203</v>
      </c>
      <c r="C42" s="192"/>
      <c r="D42" s="192"/>
      <c r="E42" s="192"/>
      <c r="F42" s="192"/>
      <c r="G42" s="192"/>
      <c r="H42" s="193"/>
    </row>
    <row r="43" spans="2:8" ht="20.25" customHeight="1" x14ac:dyDescent="0.25">
      <c r="B43" s="191" t="s">
        <v>204</v>
      </c>
      <c r="C43" s="192"/>
      <c r="D43" s="192"/>
      <c r="E43" s="192"/>
      <c r="F43" s="192"/>
      <c r="G43" s="192"/>
      <c r="H43" s="193"/>
    </row>
    <row r="44" spans="2:8" x14ac:dyDescent="0.25">
      <c r="B44" s="191" t="s">
        <v>205</v>
      </c>
      <c r="C44" s="192"/>
      <c r="D44" s="192"/>
      <c r="E44" s="192"/>
      <c r="F44" s="192"/>
      <c r="G44" s="192"/>
      <c r="H44" s="193"/>
    </row>
    <row r="45" spans="2:8" ht="15.75" thickBot="1" x14ac:dyDescent="0.3">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P318"/>
  <sheetViews>
    <sheetView tabSelected="1" zoomScale="70" zoomScaleNormal="70" zoomScaleSheetLayoutView="40" workbookViewId="0">
      <selection activeCell="E9" sqref="E9:E14"/>
    </sheetView>
  </sheetViews>
  <sheetFormatPr baseColWidth="10" defaultRowHeight="16.5" x14ac:dyDescent="0.3"/>
  <cols>
    <col min="1" max="1" width="4" style="2" bestFit="1" customWidth="1"/>
    <col min="2" max="2" width="14.140625" style="2" customWidth="1"/>
    <col min="3" max="3" width="16"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3"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90" t="s">
        <v>222</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2"/>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293"/>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5"/>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26.25" customHeight="1" x14ac:dyDescent="0.3">
      <c r="A3" s="256" t="s">
        <v>43</v>
      </c>
      <c r="B3" s="257"/>
      <c r="C3" s="263" t="s">
        <v>219</v>
      </c>
      <c r="D3" s="264"/>
      <c r="E3" s="264"/>
      <c r="F3" s="264"/>
      <c r="G3" s="264"/>
      <c r="H3" s="264"/>
      <c r="I3" s="264"/>
      <c r="J3" s="264"/>
      <c r="K3" s="264"/>
      <c r="L3" s="264"/>
      <c r="M3" s="264"/>
      <c r="N3" s="265"/>
      <c r="O3" s="296"/>
      <c r="P3" s="296"/>
      <c r="Q3" s="296"/>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30" customHeight="1" x14ac:dyDescent="0.3">
      <c r="A4" s="256" t="s">
        <v>130</v>
      </c>
      <c r="B4" s="257"/>
      <c r="C4" s="263" t="s">
        <v>218</v>
      </c>
      <c r="D4" s="264"/>
      <c r="E4" s="264"/>
      <c r="F4" s="264"/>
      <c r="G4" s="264"/>
      <c r="H4" s="264"/>
      <c r="I4" s="264"/>
      <c r="J4" s="264"/>
      <c r="K4" s="264"/>
      <c r="L4" s="264"/>
      <c r="M4" s="264"/>
      <c r="N4" s="265"/>
      <c r="O4" s="24"/>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38.25" customHeight="1" x14ac:dyDescent="0.3">
      <c r="A5" s="256" t="s">
        <v>44</v>
      </c>
      <c r="B5" s="257"/>
      <c r="C5" s="266" t="s">
        <v>221</v>
      </c>
      <c r="D5" s="267"/>
      <c r="E5" s="267"/>
      <c r="F5" s="267"/>
      <c r="G5" s="267"/>
      <c r="H5" s="267"/>
      <c r="I5" s="267"/>
      <c r="J5" s="267"/>
      <c r="K5" s="267"/>
      <c r="L5" s="267"/>
      <c r="M5" s="267"/>
      <c r="N5" s="268"/>
      <c r="O5" s="24"/>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x14ac:dyDescent="0.3">
      <c r="A6" s="297" t="s">
        <v>138</v>
      </c>
      <c r="B6" s="298"/>
      <c r="C6" s="298"/>
      <c r="D6" s="298"/>
      <c r="E6" s="298"/>
      <c r="F6" s="298"/>
      <c r="G6" s="299"/>
      <c r="H6" s="297" t="s">
        <v>139</v>
      </c>
      <c r="I6" s="298"/>
      <c r="J6" s="298"/>
      <c r="K6" s="298"/>
      <c r="L6" s="298"/>
      <c r="M6" s="298"/>
      <c r="N6" s="299"/>
      <c r="O6" s="297" t="s">
        <v>140</v>
      </c>
      <c r="P6" s="298"/>
      <c r="Q6" s="298"/>
      <c r="R6" s="298"/>
      <c r="S6" s="298"/>
      <c r="T6" s="298"/>
      <c r="U6" s="298"/>
      <c r="V6" s="298"/>
      <c r="W6" s="299"/>
      <c r="X6" s="297" t="s">
        <v>141</v>
      </c>
      <c r="Y6" s="298"/>
      <c r="Z6" s="298"/>
      <c r="AA6" s="298"/>
      <c r="AB6" s="298"/>
      <c r="AC6" s="298"/>
      <c r="AD6" s="299"/>
      <c r="AE6" s="297" t="s">
        <v>34</v>
      </c>
      <c r="AF6" s="298"/>
      <c r="AG6" s="298"/>
      <c r="AH6" s="298"/>
      <c r="AI6" s="298"/>
      <c r="AJ6" s="299"/>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ht="16.5" customHeight="1" x14ac:dyDescent="0.3">
      <c r="A7" s="258" t="s">
        <v>0</v>
      </c>
      <c r="B7" s="251" t="s">
        <v>2</v>
      </c>
      <c r="C7" s="245" t="s">
        <v>3</v>
      </c>
      <c r="D7" s="245" t="s">
        <v>42</v>
      </c>
      <c r="E7" s="260" t="s">
        <v>1</v>
      </c>
      <c r="F7" s="252" t="s">
        <v>50</v>
      </c>
      <c r="G7" s="245" t="s">
        <v>134</v>
      </c>
      <c r="H7" s="247" t="s">
        <v>33</v>
      </c>
      <c r="I7" s="248" t="s">
        <v>5</v>
      </c>
      <c r="J7" s="252" t="s">
        <v>87</v>
      </c>
      <c r="K7" s="252" t="s">
        <v>92</v>
      </c>
      <c r="L7" s="250" t="s">
        <v>45</v>
      </c>
      <c r="M7" s="248" t="s">
        <v>5</v>
      </c>
      <c r="N7" s="245" t="s">
        <v>48</v>
      </c>
      <c r="O7" s="261" t="s">
        <v>11</v>
      </c>
      <c r="P7" s="246" t="s">
        <v>160</v>
      </c>
      <c r="Q7" s="252" t="s">
        <v>12</v>
      </c>
      <c r="R7" s="246" t="s">
        <v>8</v>
      </c>
      <c r="S7" s="246"/>
      <c r="T7" s="246"/>
      <c r="U7" s="246"/>
      <c r="V7" s="246"/>
      <c r="W7" s="246"/>
      <c r="X7" s="244" t="s">
        <v>137</v>
      </c>
      <c r="Y7" s="244" t="s">
        <v>46</v>
      </c>
      <c r="Z7" s="244" t="s">
        <v>5</v>
      </c>
      <c r="AA7" s="244" t="s">
        <v>47</v>
      </c>
      <c r="AB7" s="244" t="s">
        <v>5</v>
      </c>
      <c r="AC7" s="244" t="s">
        <v>49</v>
      </c>
      <c r="AD7" s="261" t="s">
        <v>29</v>
      </c>
      <c r="AE7" s="246" t="s">
        <v>34</v>
      </c>
      <c r="AF7" s="246" t="s">
        <v>35</v>
      </c>
      <c r="AG7" s="246" t="s">
        <v>36</v>
      </c>
      <c r="AH7" s="246" t="s">
        <v>38</v>
      </c>
      <c r="AI7" s="246" t="s">
        <v>37</v>
      </c>
      <c r="AJ7" s="246" t="s">
        <v>39</v>
      </c>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s="4" customFormat="1" ht="94.5" customHeight="1" x14ac:dyDescent="0.25">
      <c r="A8" s="259"/>
      <c r="B8" s="251"/>
      <c r="C8" s="246"/>
      <c r="D8" s="246"/>
      <c r="E8" s="251"/>
      <c r="F8" s="245"/>
      <c r="G8" s="246"/>
      <c r="H8" s="245"/>
      <c r="I8" s="249"/>
      <c r="J8" s="245"/>
      <c r="K8" s="245"/>
      <c r="L8" s="249"/>
      <c r="M8" s="249"/>
      <c r="N8" s="246"/>
      <c r="O8" s="262"/>
      <c r="P8" s="246"/>
      <c r="Q8" s="245"/>
      <c r="R8" s="6" t="s">
        <v>13</v>
      </c>
      <c r="S8" s="6" t="s">
        <v>17</v>
      </c>
      <c r="T8" s="6" t="s">
        <v>28</v>
      </c>
      <c r="U8" s="6" t="s">
        <v>18</v>
      </c>
      <c r="V8" s="6" t="s">
        <v>21</v>
      </c>
      <c r="W8" s="6" t="s">
        <v>24</v>
      </c>
      <c r="X8" s="244"/>
      <c r="Y8" s="244"/>
      <c r="Z8" s="244"/>
      <c r="AA8" s="244"/>
      <c r="AB8" s="244"/>
      <c r="AC8" s="244"/>
      <c r="AD8" s="262"/>
      <c r="AE8" s="246"/>
      <c r="AF8" s="246"/>
      <c r="AG8" s="246"/>
      <c r="AH8" s="246"/>
      <c r="AI8" s="246"/>
      <c r="AJ8" s="246"/>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row>
    <row r="9" spans="1:68" s="3" customFormat="1" ht="117" customHeight="1" x14ac:dyDescent="0.25">
      <c r="A9" s="210">
        <v>1</v>
      </c>
      <c r="B9" s="223" t="s">
        <v>131</v>
      </c>
      <c r="C9" s="223" t="s">
        <v>211</v>
      </c>
      <c r="D9" s="223" t="s">
        <v>212</v>
      </c>
      <c r="E9" s="226" t="s">
        <v>213</v>
      </c>
      <c r="F9" s="223" t="s">
        <v>123</v>
      </c>
      <c r="G9" s="253">
        <v>27</v>
      </c>
      <c r="H9" s="241" t="str">
        <f>IF(G9&lt;=0,"",IF(G9&lt;=2,"Muy Baja",IF(G9&lt;=24,"Baja",IF(G9&lt;=500,"Media",IF(G9&lt;=5000,"Alta","Muy Alta")))))</f>
        <v>Media</v>
      </c>
      <c r="I9" s="232">
        <f>IF(H9="","",IF(H9="Muy Baja",0.2,IF(H9="Baja",0.4,IF(H9="Media",0.6,IF(H9="Alta",0.8,IF(H9="Muy Alta",1,))))))</f>
        <v>0.6</v>
      </c>
      <c r="J9" s="235" t="s">
        <v>150</v>
      </c>
      <c r="K9" s="238" t="str">
        <f ca="1">IF(NOT(ISERROR(MATCH(J9,'Tabla Impacto'!$B$221:$B$223,0))),'Tabla Impacto'!$F$223&amp;"Por favor no seleccionar los criterios de impacto(Afectación Económica o presupuestal y Pérdida Reputacional)",J9)</f>
        <v xml:space="preserve">     El riesgo afecta la imagen de alguna área de la organización</v>
      </c>
      <c r="L9" s="241" t="str">
        <f ca="1">IF(OR(K9='Tabla Impacto'!$C$11,K9='Tabla Impacto'!$D$11),"Leve",IF(OR(K9='Tabla Impacto'!$C$12,K9='Tabla Impacto'!$D$12),"Menor",IF(OR(K9='Tabla Impacto'!$C$13,K9='Tabla Impacto'!$D$13),"Moderado",IF(OR(K9='Tabla Impacto'!$C$14,K9='Tabla Impacto'!$D$14),"Mayor",IF(OR(K9='Tabla Impacto'!$C$15,K9='Tabla Impacto'!$D$15),"Catastrófico","")))))</f>
        <v>Leve</v>
      </c>
      <c r="M9" s="232">
        <f ca="1">IF(L9="","",IF(L9="Leve",0.2,IF(L9="Menor",0.4,IF(L9="Moderado",0.6,IF(L9="Mayor",0.8,IF(L9="Catastrófico",1,))))))</f>
        <v>0.2</v>
      </c>
      <c r="N9" s="229"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210">
        <v>1</v>
      </c>
      <c r="P9" s="218" t="s">
        <v>214</v>
      </c>
      <c r="Q9" s="220" t="str">
        <f>IF(OR(R9="Preventivo",R9="Detectivo"),"Probabilidad",IF(R9="Correctivo","Impacto",""))</f>
        <v>Probabilidad</v>
      </c>
      <c r="R9" s="202" t="s">
        <v>14</v>
      </c>
      <c r="S9" s="202" t="s">
        <v>10</v>
      </c>
      <c r="T9" s="200" t="str">
        <f>IF(AND(R9="Preventivo",S9="Automático"),"50%",IF(AND(R9="Preventivo",S9="Manual"),"40%",IF(AND(R9="Detectivo",S9="Automático"),"40%",IF(AND(R9="Detectivo",S9="Manual"),"30%",IF(AND(R9="Correctivo",S9="Automático"),"35%",IF(AND(R9="Correctivo",S9="Manual"),"25%",""))))))</f>
        <v>50%</v>
      </c>
      <c r="U9" s="202" t="s">
        <v>19</v>
      </c>
      <c r="V9" s="202" t="s">
        <v>22</v>
      </c>
      <c r="W9" s="202" t="s">
        <v>119</v>
      </c>
      <c r="X9" s="139">
        <f>IFERROR(IF(Q9="Probabilidad",(I9-(+I9*T9)),IF(Q9="Impacto",I9,"")),"")</f>
        <v>0.3</v>
      </c>
      <c r="Y9" s="204" t="str">
        <f>IFERROR(IF(X9="","",IF(X9&lt;=0.2,"Muy Baja",IF(X9&lt;=0.4,"Baja",IF(X9&lt;=0.6,"Media",IF(X9&lt;=0.8,"Alta","Muy Alta"))))),"")</f>
        <v>Baja</v>
      </c>
      <c r="Z9" s="200">
        <f>+X9</f>
        <v>0.3</v>
      </c>
      <c r="AA9" s="204" t="str">
        <f ca="1">IFERROR(IF(AB9="","",IF(AB9&lt;=0.2,"Leve",IF(AB9&lt;=0.4,"Menor",IF(AB9&lt;=0.6,"Moderado",IF(AB9&lt;=0.8,"Mayor","Catastrófico"))))),"")</f>
        <v>Leve</v>
      </c>
      <c r="AB9" s="200">
        <f ca="1">IFERROR(IF(Q9="Impacto",(M9-(+M9*T9)),IF(Q9="Probabilidad",M9,"")),"")</f>
        <v>0.2</v>
      </c>
      <c r="AC9" s="208"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Bajo</v>
      </c>
      <c r="AD9" s="202" t="s">
        <v>32</v>
      </c>
      <c r="AE9" s="212"/>
      <c r="AF9" s="214"/>
      <c r="AG9" s="216"/>
      <c r="AH9" s="216"/>
      <c r="AI9" s="212"/>
      <c r="AJ9" s="21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ht="96.75" customHeight="1" x14ac:dyDescent="0.3">
      <c r="A10" s="222"/>
      <c r="B10" s="224"/>
      <c r="C10" s="224"/>
      <c r="D10" s="224"/>
      <c r="E10" s="227"/>
      <c r="F10" s="224"/>
      <c r="G10" s="254"/>
      <c r="H10" s="242"/>
      <c r="I10" s="233"/>
      <c r="J10" s="236"/>
      <c r="K10" s="239">
        <f ca="1">IF(NOT(ISERROR(MATCH(J10,_xlfn.ANCHORARRAY(E21),0))),I23&amp;"Por favor no seleccionar los criterios de impacto",J10)</f>
        <v>0</v>
      </c>
      <c r="L10" s="242"/>
      <c r="M10" s="233"/>
      <c r="N10" s="230"/>
      <c r="O10" s="211"/>
      <c r="P10" s="219"/>
      <c r="Q10" s="221"/>
      <c r="R10" s="203"/>
      <c r="S10" s="203"/>
      <c r="T10" s="201"/>
      <c r="U10" s="203"/>
      <c r="V10" s="203"/>
      <c r="W10" s="203"/>
      <c r="X10" s="127" t="str">
        <f>IFERROR(IF(AND(Q9="Probabilidad",Q10="Probabilidad"),(Z9-(+Z9*T10)),IF(Q10="Probabilidad",(I9-(+I9*T10)),IF(Q10="Impacto",Z9,""))),"")</f>
        <v/>
      </c>
      <c r="Y10" s="205"/>
      <c r="Z10" s="201"/>
      <c r="AA10" s="205"/>
      <c r="AB10" s="201"/>
      <c r="AC10" s="209"/>
      <c r="AD10" s="203"/>
      <c r="AE10" s="213"/>
      <c r="AF10" s="215"/>
      <c r="AG10" s="217"/>
      <c r="AH10" s="217"/>
      <c r="AI10" s="213"/>
      <c r="AJ10" s="215"/>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row>
    <row r="11" spans="1:68" ht="151.5" hidden="1" customHeight="1" x14ac:dyDescent="0.3">
      <c r="A11" s="222"/>
      <c r="B11" s="224"/>
      <c r="C11" s="224"/>
      <c r="D11" s="224"/>
      <c r="E11" s="227"/>
      <c r="F11" s="224"/>
      <c r="G11" s="254"/>
      <c r="H11" s="242"/>
      <c r="I11" s="233"/>
      <c r="J11" s="236"/>
      <c r="K11" s="239">
        <f ca="1">IF(NOT(ISERROR(MATCH(J11,_xlfn.ANCHORARRAY(E22),0))),I24&amp;"Por favor no seleccionar los criterios de impacto",J11)</f>
        <v>0</v>
      </c>
      <c r="L11" s="242"/>
      <c r="M11" s="233"/>
      <c r="N11" s="230"/>
      <c r="O11" s="138">
        <v>3</v>
      </c>
      <c r="P11" s="135"/>
      <c r="Q11" s="124" t="str">
        <f>IF(OR(R11="Preventivo",R11="Detectivo"),"Probabilidad",IF(R11="Correctivo","Impacto",""))</f>
        <v/>
      </c>
      <c r="R11" s="125"/>
      <c r="S11" s="125"/>
      <c r="T11" s="126" t="str">
        <f t="shared" ref="T11:T14" si="0">IF(AND(R11="Preventivo",S11="Automático"),"50%",IF(AND(R11="Preventivo",S11="Manual"),"40%",IF(AND(R11="Detectivo",S11="Automático"),"40%",IF(AND(R11="Detectivo",S11="Manual"),"30%",IF(AND(R11="Correctivo",S11="Automático"),"35%",IF(AND(R11="Correctivo",S11="Manual"),"25%",""))))))</f>
        <v/>
      </c>
      <c r="U11" s="125"/>
      <c r="V11" s="125"/>
      <c r="W11" s="125"/>
      <c r="X11" s="127" t="str">
        <f>IFERROR(IF(AND(Q10="Probabilidad",Q11="Probabilidad"),(Z10-(+Z10*T11)),IF(AND(Q10="Impacto",Q11="Probabilidad"),(Z9-(+Z9*T11)),IF(Q11="Impacto",Z10,""))),"")</f>
        <v/>
      </c>
      <c r="Y11" s="128" t="str">
        <f t="shared" ref="Y11:Y68" si="1">IFERROR(IF(X11="","",IF(X11&lt;=0.2,"Muy Baja",IF(X11&lt;=0.4,"Baja",IF(X11&lt;=0.6,"Media",IF(X11&lt;=0.8,"Alta","Muy Alta"))))),"")</f>
        <v/>
      </c>
      <c r="Z11" s="129" t="str">
        <f t="shared" ref="Z11:Z14" si="2">+X11</f>
        <v/>
      </c>
      <c r="AA11" s="128" t="str">
        <f t="shared" ref="AA11:AA68" si="3">IFERROR(IF(AB11="","",IF(AB11&lt;=0.2,"Leve",IF(AB11&lt;=0.4,"Menor",IF(AB11&lt;=0.6,"Moderado",IF(AB11&lt;=0.8,"Mayor","Catastrófico"))))),"")</f>
        <v/>
      </c>
      <c r="AB11" s="137" t="str">
        <f>IFERROR(IF(AND(Q10="Impacto",Q11="Impacto"),(AB10-(+AB10*T11)),IF(AND(Q10="Probabilidad",Q11="Impacto"),(AB9-(+AB9*T11)),IF(Q11="Probabilidad",AB10,""))),"")</f>
        <v/>
      </c>
      <c r="AC11" s="130" t="str">
        <f t="shared" ref="AC11:AC14"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1"/>
      <c r="AE11" s="132"/>
      <c r="AF11" s="133"/>
      <c r="AG11" s="134"/>
      <c r="AH11" s="134"/>
      <c r="AI11" s="132"/>
      <c r="AJ11" s="133"/>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ht="105.75" hidden="1" customHeight="1" x14ac:dyDescent="0.3">
      <c r="A12" s="222"/>
      <c r="B12" s="224"/>
      <c r="C12" s="224"/>
      <c r="D12" s="224"/>
      <c r="E12" s="227"/>
      <c r="F12" s="224"/>
      <c r="G12" s="254"/>
      <c r="H12" s="242"/>
      <c r="I12" s="233"/>
      <c r="J12" s="236"/>
      <c r="K12" s="239">
        <f ca="1">IF(NOT(ISERROR(MATCH(J12,_xlfn.ANCHORARRAY(E23),0))),I25&amp;"Por favor no seleccionar los criterios de impacto",J12)</f>
        <v>0</v>
      </c>
      <c r="L12" s="242"/>
      <c r="M12" s="233"/>
      <c r="N12" s="230"/>
      <c r="O12" s="138">
        <v>4</v>
      </c>
      <c r="P12" s="123"/>
      <c r="Q12" s="124" t="str">
        <f t="shared" ref="Q12:Q14" si="5">IF(OR(R12="Preventivo",R12="Detectivo"),"Probabilidad",IF(R12="Correctivo","Impacto",""))</f>
        <v/>
      </c>
      <c r="R12" s="125"/>
      <c r="S12" s="125"/>
      <c r="T12" s="126" t="str">
        <f t="shared" si="0"/>
        <v/>
      </c>
      <c r="U12" s="125"/>
      <c r="V12" s="125"/>
      <c r="W12" s="125"/>
      <c r="X12" s="127" t="str">
        <f t="shared" ref="X12:X14" si="6">IFERROR(IF(AND(Q11="Probabilidad",Q12="Probabilidad"),(Z11-(+Z11*T12)),IF(AND(Q11="Impacto",Q12="Probabilidad"),(Z10-(+Z10*T12)),IF(Q12="Impacto",Z11,""))),"")</f>
        <v/>
      </c>
      <c r="Y12" s="128" t="str">
        <f t="shared" si="1"/>
        <v/>
      </c>
      <c r="Z12" s="129" t="str">
        <f t="shared" si="2"/>
        <v/>
      </c>
      <c r="AA12" s="128" t="str">
        <f t="shared" si="3"/>
        <v/>
      </c>
      <c r="AB12" s="137" t="str">
        <f t="shared" ref="AB12:AB14" si="7">IFERROR(IF(AND(Q11="Impacto",Q12="Impacto"),(AB11-(+AB11*T12)),IF(AND(Q11="Probabilidad",Q12="Impacto"),(AB10-(+AB10*T12)),IF(Q12="Probabilidad",AB11,""))),"")</f>
        <v/>
      </c>
      <c r="AC12" s="130"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32"/>
      <c r="AF12" s="133"/>
      <c r="AG12" s="134"/>
      <c r="AH12" s="134"/>
      <c r="AI12" s="132"/>
      <c r="AJ12" s="133"/>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ht="151.5" hidden="1" customHeight="1" x14ac:dyDescent="0.3">
      <c r="A13" s="222"/>
      <c r="B13" s="224"/>
      <c r="C13" s="224"/>
      <c r="D13" s="224"/>
      <c r="E13" s="227"/>
      <c r="F13" s="224"/>
      <c r="G13" s="254"/>
      <c r="H13" s="242"/>
      <c r="I13" s="233"/>
      <c r="J13" s="236"/>
      <c r="K13" s="239">
        <f ca="1">IF(NOT(ISERROR(MATCH(J13,_xlfn.ANCHORARRAY(E24),0))),I26&amp;"Por favor no seleccionar los criterios de impacto",J13)</f>
        <v>0</v>
      </c>
      <c r="L13" s="242"/>
      <c r="M13" s="233"/>
      <c r="N13" s="230"/>
      <c r="O13" s="138">
        <v>5</v>
      </c>
      <c r="P13" s="123"/>
      <c r="Q13" s="124" t="str">
        <f t="shared" si="5"/>
        <v/>
      </c>
      <c r="R13" s="125"/>
      <c r="S13" s="125"/>
      <c r="T13" s="126" t="str">
        <f t="shared" si="0"/>
        <v/>
      </c>
      <c r="U13" s="125"/>
      <c r="V13" s="125"/>
      <c r="W13" s="125"/>
      <c r="X13" s="127" t="str">
        <f t="shared" si="6"/>
        <v/>
      </c>
      <c r="Y13" s="128" t="str">
        <f t="shared" si="1"/>
        <v/>
      </c>
      <c r="Z13" s="129" t="str">
        <f t="shared" si="2"/>
        <v/>
      </c>
      <c r="AA13" s="128" t="str">
        <f t="shared" si="3"/>
        <v/>
      </c>
      <c r="AB13" s="137" t="str">
        <f t="shared" si="7"/>
        <v/>
      </c>
      <c r="AC13" s="130" t="str">
        <f t="shared" si="4"/>
        <v/>
      </c>
      <c r="AD13" s="131"/>
      <c r="AE13" s="132"/>
      <c r="AF13" s="133"/>
      <c r="AG13" s="134"/>
      <c r="AH13" s="134"/>
      <c r="AI13" s="132"/>
      <c r="AJ13" s="133"/>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151.5" hidden="1" customHeight="1" x14ac:dyDescent="0.3">
      <c r="A14" s="211"/>
      <c r="B14" s="225"/>
      <c r="C14" s="225"/>
      <c r="D14" s="225"/>
      <c r="E14" s="228"/>
      <c r="F14" s="225"/>
      <c r="G14" s="255"/>
      <c r="H14" s="243"/>
      <c r="I14" s="234"/>
      <c r="J14" s="237"/>
      <c r="K14" s="240">
        <f ca="1">IF(NOT(ISERROR(MATCH(J14,_xlfn.ANCHORARRAY(E25),0))),I27&amp;"Por favor no seleccionar los criterios de impacto",J14)</f>
        <v>0</v>
      </c>
      <c r="L14" s="243"/>
      <c r="M14" s="234"/>
      <c r="N14" s="231"/>
      <c r="O14" s="138">
        <v>6</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37" t="str">
        <f t="shared" si="7"/>
        <v/>
      </c>
      <c r="AC14" s="130" t="str">
        <f t="shared" si="4"/>
        <v/>
      </c>
      <c r="AD14" s="131"/>
      <c r="AE14" s="132"/>
      <c r="AF14" s="133"/>
      <c r="AG14" s="134"/>
      <c r="AH14" s="134"/>
      <c r="AI14" s="132"/>
      <c r="AJ14" s="133"/>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151.5" customHeight="1" x14ac:dyDescent="0.3">
      <c r="A15" s="210">
        <v>2</v>
      </c>
      <c r="B15" s="223" t="s">
        <v>132</v>
      </c>
      <c r="C15" s="223" t="s">
        <v>217</v>
      </c>
      <c r="D15" s="223" t="s">
        <v>216</v>
      </c>
      <c r="E15" s="226" t="s">
        <v>215</v>
      </c>
      <c r="F15" s="223" t="s">
        <v>123</v>
      </c>
      <c r="G15" s="253">
        <v>1</v>
      </c>
      <c r="H15" s="241" t="str">
        <f>IF(G15&lt;=0,"",IF(G15&lt;=2,"Muy Baja",IF(G15&lt;=24,"Baja",IF(G15&lt;=500,"Media",IF(G15&lt;=5000,"Alta","Muy Alta")))))</f>
        <v>Muy Baja</v>
      </c>
      <c r="I15" s="232">
        <f>IF(H15="","",IF(H15="Muy Baja",0.2,IF(H15="Baja",0.4,IF(H15="Media",0.6,IF(H15="Alta",0.8,IF(H15="Muy Alta",1,))))))</f>
        <v>0.2</v>
      </c>
      <c r="J15" s="235" t="s">
        <v>148</v>
      </c>
      <c r="K15" s="238" t="str">
        <f ca="1">IF(NOT(ISERROR(MATCH(J15,'Tabla Impacto'!$B$221:$B$223,0))),'Tabla Impacto'!$F$223&amp;"Por favor no seleccionar los criterios de impacto(Afectación Económica o presupuestal y Pérdida Reputacional)",J15)</f>
        <v xml:space="preserve">     Entre 100 y 500 SMLMV </v>
      </c>
      <c r="L15" s="241" t="str">
        <f ca="1">IF(OR(K15='Tabla Impacto'!$C$11,K15='Tabla Impacto'!$D$11),"Leve",IF(OR(K15='Tabla Impacto'!$C$12,K15='Tabla Impacto'!$D$12),"Menor",IF(OR(K15='Tabla Impacto'!$C$13,K15='Tabla Impacto'!$D$13),"Moderado",IF(OR(K15='Tabla Impacto'!$C$14,K15='Tabla Impacto'!$D$14),"Mayor",IF(OR(K15='Tabla Impacto'!$C$15,K15='Tabla Impacto'!$D$15),"Catastrófico","")))))</f>
        <v>Mayor</v>
      </c>
      <c r="M15" s="232">
        <f ca="1">IF(L15="","",IF(L15="Leve",0.2,IF(L15="Menor",0.4,IF(L15="Moderado",0.6,IF(L15="Mayor",0.8,IF(L15="Catastrófico",1,))))))</f>
        <v>0.8</v>
      </c>
      <c r="N15" s="229"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210">
        <v>1</v>
      </c>
      <c r="P15" s="218" t="s">
        <v>220</v>
      </c>
      <c r="Q15" s="220" t="str">
        <f>IF(OR(R15="Preventivo",R15="Detectivo"),"Probabilidad",IF(R15="Correctivo","Impacto",""))</f>
        <v>Probabilidad</v>
      </c>
      <c r="R15" s="202" t="s">
        <v>14</v>
      </c>
      <c r="S15" s="202" t="s">
        <v>9</v>
      </c>
      <c r="T15" s="200" t="str">
        <f>IF(AND(R15="Preventivo",S15="Automático"),"50%",IF(AND(R15="Preventivo",S15="Manual"),"40%",IF(AND(R15="Detectivo",S15="Automático"),"40%",IF(AND(R15="Detectivo",S15="Manual"),"30%",IF(AND(R15="Correctivo",S15="Automático"),"35%",IF(AND(R15="Correctivo",S15="Manual"),"25%",""))))))</f>
        <v>40%</v>
      </c>
      <c r="U15" s="202" t="s">
        <v>19</v>
      </c>
      <c r="V15" s="202" t="s">
        <v>22</v>
      </c>
      <c r="W15" s="202" t="s">
        <v>119</v>
      </c>
      <c r="X15" s="139">
        <f>IFERROR(IF(Q15="Probabilidad",(I15-(+I15*T15)),IF(Q15="Impacto",I15,"")),"")</f>
        <v>0.12</v>
      </c>
      <c r="Y15" s="204" t="str">
        <f>IFERROR(IF(X15="","",IF(X15&lt;=0.2,"Muy Baja",IF(X15&lt;=0.4,"Baja",IF(X15&lt;=0.6,"Media",IF(X15&lt;=0.8,"Alta","Muy Alta"))))),"")</f>
        <v>Muy Baja</v>
      </c>
      <c r="Z15" s="200">
        <f>+X15</f>
        <v>0.12</v>
      </c>
      <c r="AA15" s="204" t="str">
        <f ca="1">IFERROR(IF(AB15="","",IF(AB15&lt;=0.2,"Leve",IF(AB15&lt;=0.4,"Menor",IF(AB15&lt;=0.6,"Moderado",IF(AB15&lt;=0.8,"Mayor","Catastrófico"))))),"")</f>
        <v>Mayor</v>
      </c>
      <c r="AB15" s="206">
        <f ca="1">IFERROR(IF(Q15="Impacto",(M15-(+M15*T15)),IF(Q15="Probabilidad",M15,"")),"")</f>
        <v>0.8</v>
      </c>
      <c r="AC15" s="208"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202" t="s">
        <v>135</v>
      </c>
      <c r="AE15" s="212"/>
      <c r="AF15" s="214"/>
      <c r="AG15" s="216"/>
      <c r="AH15" s="216"/>
      <c r="AI15" s="212"/>
      <c r="AJ15" s="214"/>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72" customHeight="1" x14ac:dyDescent="0.3">
      <c r="A16" s="222"/>
      <c r="B16" s="224"/>
      <c r="C16" s="224"/>
      <c r="D16" s="224"/>
      <c r="E16" s="227"/>
      <c r="F16" s="224"/>
      <c r="G16" s="254"/>
      <c r="H16" s="242"/>
      <c r="I16" s="233"/>
      <c r="J16" s="236"/>
      <c r="K16" s="239">
        <f ca="1">IF(NOT(ISERROR(MATCH(J16,_xlfn.ANCHORARRAY(E27),0))),I29&amp;"Por favor no seleccionar los criterios de impacto",J16)</f>
        <v>0</v>
      </c>
      <c r="L16" s="242"/>
      <c r="M16" s="233"/>
      <c r="N16" s="230"/>
      <c r="O16" s="211"/>
      <c r="P16" s="219"/>
      <c r="Q16" s="221"/>
      <c r="R16" s="203"/>
      <c r="S16" s="203"/>
      <c r="T16" s="201"/>
      <c r="U16" s="203"/>
      <c r="V16" s="203"/>
      <c r="W16" s="203"/>
      <c r="X16" s="139" t="str">
        <f>IFERROR(IF(AND(Q15="Probabilidad",Q16="Probabilidad"),(Z15-(+Z15*T16)),IF(Q16="Probabilidad",(I15-(+I15*T16)),IF(Q16="Impacto",Z15,""))),"")</f>
        <v/>
      </c>
      <c r="Y16" s="205"/>
      <c r="Z16" s="201"/>
      <c r="AA16" s="205"/>
      <c r="AB16" s="207"/>
      <c r="AC16" s="209"/>
      <c r="AD16" s="203"/>
      <c r="AE16" s="213"/>
      <c r="AF16" s="215"/>
      <c r="AG16" s="217"/>
      <c r="AH16" s="217"/>
      <c r="AI16" s="213"/>
      <c r="AJ16" s="215"/>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39" hidden="1" customHeight="1" x14ac:dyDescent="0.3">
      <c r="A17" s="222"/>
      <c r="B17" s="224"/>
      <c r="C17" s="224"/>
      <c r="D17" s="224"/>
      <c r="E17" s="227"/>
      <c r="F17" s="224"/>
      <c r="G17" s="254"/>
      <c r="H17" s="242"/>
      <c r="I17" s="233"/>
      <c r="J17" s="236"/>
      <c r="K17" s="239">
        <f ca="1">IF(NOT(ISERROR(MATCH(J17,_xlfn.ANCHORARRAY(E28),0))),I30&amp;"Por favor no seleccionar los criterios de impacto",J17)</f>
        <v>0</v>
      </c>
      <c r="L17" s="242"/>
      <c r="M17" s="233"/>
      <c r="N17" s="230"/>
      <c r="O17" s="138">
        <v>3</v>
      </c>
      <c r="P17" s="135"/>
      <c r="Q17" s="124" t="str">
        <f>IF(OR(R17="Preventivo",R17="Detectivo"),"Probabilidad",IF(R17="Correctivo","Impacto",""))</f>
        <v/>
      </c>
      <c r="R17" s="125"/>
      <c r="S17" s="125"/>
      <c r="T17" s="126" t="str">
        <f t="shared" ref="T17:T20" si="8">IF(AND(R17="Preventivo",S17="Automático"),"50%",IF(AND(R17="Preventivo",S17="Manual"),"40%",IF(AND(R17="Detectivo",S17="Automático"),"40%",IF(AND(R17="Detectivo",S17="Manual"),"30%",IF(AND(R17="Correctivo",S17="Automático"),"35%",IF(AND(R17="Correctivo",S17="Manual"),"25%",""))))))</f>
        <v/>
      </c>
      <c r="U17" s="125"/>
      <c r="V17" s="125"/>
      <c r="W17" s="125"/>
      <c r="X17" s="127" t="str">
        <f>IFERROR(IF(AND(Q16="Probabilidad",Q17="Probabilidad"),(Z16-(+Z16*T17)),IF(AND(Q16="Impacto",Q17="Probabilidad"),(Z15-(+Z15*T17)),IF(Q17="Impacto",Z16,""))),"")</f>
        <v/>
      </c>
      <c r="Y17" s="128" t="str">
        <f t="shared" si="1"/>
        <v/>
      </c>
      <c r="Z17" s="129" t="str">
        <f t="shared" ref="Z17:Z20" si="9">+X17</f>
        <v/>
      </c>
      <c r="AA17" s="128" t="str">
        <f t="shared" si="3"/>
        <v/>
      </c>
      <c r="AB17" s="137" t="str">
        <f>IFERROR(IF(AND(Q16="Impacto",Q17="Impacto"),(AB16-(+AB16*T17)),IF(AND(Q16="Probabilidad",Q17="Impacto"),(AB15-(+AB15*T17)),IF(Q17="Probabilidad",AB16,""))),"")</f>
        <v/>
      </c>
      <c r="AC17" s="130" t="str">
        <f t="shared" ref="AC17"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1"/>
      <c r="AE17" s="132"/>
      <c r="AF17" s="133"/>
      <c r="AG17" s="134"/>
      <c r="AH17" s="134"/>
      <c r="AI17" s="132"/>
      <c r="AJ17" s="133"/>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151.5" hidden="1" customHeight="1" x14ac:dyDescent="0.3">
      <c r="A18" s="222"/>
      <c r="B18" s="224"/>
      <c r="C18" s="224"/>
      <c r="D18" s="224"/>
      <c r="E18" s="227"/>
      <c r="F18" s="224"/>
      <c r="G18" s="254"/>
      <c r="H18" s="242"/>
      <c r="I18" s="233"/>
      <c r="J18" s="236"/>
      <c r="K18" s="239">
        <f ca="1">IF(NOT(ISERROR(MATCH(J18,_xlfn.ANCHORARRAY(E29),0))),I31&amp;"Por favor no seleccionar los criterios de impacto",J18)</f>
        <v>0</v>
      </c>
      <c r="L18" s="242"/>
      <c r="M18" s="233"/>
      <c r="N18" s="230"/>
      <c r="O18" s="138">
        <v>4</v>
      </c>
      <c r="P18" s="123"/>
      <c r="Q18" s="124" t="str">
        <f t="shared" ref="Q18:Q20" si="11">IF(OR(R18="Preventivo",R18="Detectivo"),"Probabilidad",IF(R18="Correctivo","Impacto",""))</f>
        <v/>
      </c>
      <c r="R18" s="125"/>
      <c r="S18" s="125"/>
      <c r="T18" s="126" t="str">
        <f t="shared" si="8"/>
        <v/>
      </c>
      <c r="U18" s="125"/>
      <c r="V18" s="125"/>
      <c r="W18" s="125"/>
      <c r="X18" s="127" t="str">
        <f t="shared" ref="X18:X20" si="12">IFERROR(IF(AND(Q17="Probabilidad",Q18="Probabilidad"),(Z17-(+Z17*T18)),IF(AND(Q17="Impacto",Q18="Probabilidad"),(Z16-(+Z16*T18)),IF(Q18="Impacto",Z17,""))),"")</f>
        <v/>
      </c>
      <c r="Y18" s="128" t="str">
        <f t="shared" si="1"/>
        <v/>
      </c>
      <c r="Z18" s="129" t="str">
        <f t="shared" si="9"/>
        <v/>
      </c>
      <c r="AA18" s="128" t="str">
        <f t="shared" si="3"/>
        <v/>
      </c>
      <c r="AB18" s="137" t="str">
        <f t="shared" ref="AB18:AB20" si="13">IFERROR(IF(AND(Q17="Impacto",Q18="Impacto"),(AB17-(+AB17*T18)),IF(AND(Q17="Probabilidad",Q18="Impacto"),(AB16-(+AB16*T18)),IF(Q18="Probabilidad",AB17,""))),"")</f>
        <v/>
      </c>
      <c r="AC18" s="130"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1"/>
      <c r="AE18" s="132"/>
      <c r="AF18" s="133"/>
      <c r="AG18" s="134"/>
      <c r="AH18" s="134"/>
      <c r="AI18" s="132"/>
      <c r="AJ18" s="133"/>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111" hidden="1" customHeight="1" x14ac:dyDescent="0.3">
      <c r="A19" s="222"/>
      <c r="B19" s="224"/>
      <c r="C19" s="224"/>
      <c r="D19" s="224"/>
      <c r="E19" s="227"/>
      <c r="F19" s="224"/>
      <c r="G19" s="254"/>
      <c r="H19" s="242"/>
      <c r="I19" s="233"/>
      <c r="J19" s="236"/>
      <c r="K19" s="239">
        <f ca="1">IF(NOT(ISERROR(MATCH(J19,_xlfn.ANCHORARRAY(E30),0))),I32&amp;"Por favor no seleccionar los criterios de impacto",J19)</f>
        <v>0</v>
      </c>
      <c r="L19" s="242"/>
      <c r="M19" s="233"/>
      <c r="N19" s="230"/>
      <c r="O19" s="138">
        <v>5</v>
      </c>
      <c r="P19" s="123"/>
      <c r="Q19" s="124" t="str">
        <f t="shared" si="11"/>
        <v/>
      </c>
      <c r="R19" s="125"/>
      <c r="S19" s="125"/>
      <c r="T19" s="126" t="str">
        <f t="shared" si="8"/>
        <v/>
      </c>
      <c r="U19" s="125"/>
      <c r="V19" s="125"/>
      <c r="W19" s="125"/>
      <c r="X19" s="127" t="str">
        <f t="shared" si="12"/>
        <v/>
      </c>
      <c r="Y19" s="128" t="str">
        <f t="shared" si="1"/>
        <v/>
      </c>
      <c r="Z19" s="129" t="str">
        <f t="shared" si="9"/>
        <v/>
      </c>
      <c r="AA19" s="128" t="str">
        <f t="shared" si="3"/>
        <v/>
      </c>
      <c r="AB19" s="137" t="str">
        <f t="shared" si="13"/>
        <v/>
      </c>
      <c r="AC19" s="130" t="str">
        <f t="shared" ref="AC19:AC20" si="1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33"/>
      <c r="AG19" s="134"/>
      <c r="AH19" s="134"/>
      <c r="AI19" s="132"/>
      <c r="AJ19" s="133"/>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151.5" hidden="1" customHeight="1" x14ac:dyDescent="0.3">
      <c r="A20" s="211"/>
      <c r="B20" s="225"/>
      <c r="C20" s="225"/>
      <c r="D20" s="225"/>
      <c r="E20" s="228"/>
      <c r="F20" s="225"/>
      <c r="G20" s="255"/>
      <c r="H20" s="243"/>
      <c r="I20" s="234"/>
      <c r="J20" s="237"/>
      <c r="K20" s="240">
        <f ca="1">IF(NOT(ISERROR(MATCH(J20,_xlfn.ANCHORARRAY(E31),0))),I33&amp;"Por favor no seleccionar los criterios de impacto",J20)</f>
        <v>0</v>
      </c>
      <c r="L20" s="243"/>
      <c r="M20" s="234"/>
      <c r="N20" s="231"/>
      <c r="O20" s="138">
        <v>6</v>
      </c>
      <c r="P20" s="123"/>
      <c r="Q20" s="124" t="str">
        <f t="shared" si="11"/>
        <v/>
      </c>
      <c r="R20" s="125"/>
      <c r="S20" s="125"/>
      <c r="T20" s="126" t="str">
        <f t="shared" si="8"/>
        <v/>
      </c>
      <c r="U20" s="125"/>
      <c r="V20" s="125"/>
      <c r="W20" s="125"/>
      <c r="X20" s="127" t="str">
        <f t="shared" si="12"/>
        <v/>
      </c>
      <c r="Y20" s="128" t="str">
        <f t="shared" si="1"/>
        <v/>
      </c>
      <c r="Z20" s="129" t="str">
        <f t="shared" si="9"/>
        <v/>
      </c>
      <c r="AA20" s="128" t="str">
        <f t="shared" si="3"/>
        <v/>
      </c>
      <c r="AB20" s="137" t="str">
        <f t="shared" si="13"/>
        <v/>
      </c>
      <c r="AC20" s="130" t="str">
        <f t="shared" si="14"/>
        <v/>
      </c>
      <c r="AD20" s="131"/>
      <c r="AE20" s="132"/>
      <c r="AF20" s="133"/>
      <c r="AG20" s="134"/>
      <c r="AH20" s="134"/>
      <c r="AI20" s="132"/>
      <c r="AJ20" s="133"/>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151.5" hidden="1" customHeight="1" x14ac:dyDescent="0.3">
      <c r="A21" s="272">
        <v>3</v>
      </c>
      <c r="B21" s="212"/>
      <c r="C21" s="212"/>
      <c r="D21" s="212"/>
      <c r="E21" s="276"/>
      <c r="F21" s="212"/>
      <c r="G21" s="214"/>
      <c r="H21" s="280" t="str">
        <f>IF(G21&lt;=0,"",IF(G21&lt;=2,"Muy Baja",IF(G21&lt;=24,"Baja",IF(G21&lt;=500,"Media",IF(G21&lt;=5000,"Alta","Muy Alta")))))</f>
        <v/>
      </c>
      <c r="I21" s="238" t="str">
        <f>IF(H21="","",IF(H21="Muy Baja",0.2,IF(H21="Baja",0.4,IF(H21="Media",0.6,IF(H21="Alta",0.8,IF(H21="Muy Alta",1,))))))</f>
        <v/>
      </c>
      <c r="J21" s="283"/>
      <c r="K21" s="238">
        <f ca="1">IF(NOT(ISERROR(MATCH(J21,'Tabla Impacto'!$B$221:$B$223,0))),'Tabla Impacto'!$F$223&amp;"Por favor no seleccionar los criterios de impacto(Afectación Económica o presupuestal y Pérdida Reputacional)",J21)</f>
        <v>0</v>
      </c>
      <c r="L21" s="280" t="str">
        <f ca="1">IF(OR(K21='Tabla Impacto'!$C$11,K21='Tabla Impacto'!$D$11),"Leve",IF(OR(K21='Tabla Impacto'!$C$12,K21='Tabla Impacto'!$D$12),"Menor",IF(OR(K21='Tabla Impacto'!$C$13,K21='Tabla Impacto'!$D$13),"Moderado",IF(OR(K21='Tabla Impacto'!$C$14,K21='Tabla Impacto'!$D$14),"Mayor",IF(OR(K21='Tabla Impacto'!$C$15,K21='Tabla Impacto'!$D$15),"Catastrófico","")))))</f>
        <v/>
      </c>
      <c r="M21" s="238" t="str">
        <f ca="1">IF(L21="","",IF(L21="Leve",0.2,IF(L21="Menor",0.4,IF(L21="Moderado",0.6,IF(L21="Mayor",0.8,IF(L21="Catastrófico",1,))))))</f>
        <v/>
      </c>
      <c r="N21" s="269"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38">
        <v>1</v>
      </c>
      <c r="P21" s="123"/>
      <c r="Q21" s="124" t="str">
        <f>IF(OR(R21="Preventivo",R21="Detectivo"),"Probabilidad",IF(R21="Correctivo","Impacto",""))</f>
        <v/>
      </c>
      <c r="R21" s="125"/>
      <c r="S21" s="125"/>
      <c r="T21" s="126" t="str">
        <f>IF(AND(R21="Preventivo",S21="Automático"),"50%",IF(AND(R21="Preventivo",S21="Manual"),"40%",IF(AND(R21="Detectivo",S21="Automático"),"40%",IF(AND(R21="Detectivo",S21="Manual"),"30%",IF(AND(R21="Correctivo",S21="Automático"),"35%",IF(AND(R21="Correctivo",S21="Manual"),"25%",""))))))</f>
        <v/>
      </c>
      <c r="U21" s="125"/>
      <c r="V21" s="125"/>
      <c r="W21" s="125"/>
      <c r="X21" s="127" t="str">
        <f>IFERROR(IF(Q21="Probabilidad",(I21-(+I21*T21)),IF(Q21="Impacto",I21,"")),"")</f>
        <v/>
      </c>
      <c r="Y21" s="128" t="str">
        <f>IFERROR(IF(X21="","",IF(X21&lt;=0.2,"Muy Baja",IF(X21&lt;=0.4,"Baja",IF(X21&lt;=0.6,"Media",IF(X21&lt;=0.8,"Alta","Muy Alta"))))),"")</f>
        <v/>
      </c>
      <c r="Z21" s="129" t="str">
        <f>+X21</f>
        <v/>
      </c>
      <c r="AA21" s="128" t="str">
        <f>IFERROR(IF(AB21="","",IF(AB21&lt;=0.2,"Leve",IF(AB21&lt;=0.4,"Menor",IF(AB21&lt;=0.6,"Moderado",IF(AB21&lt;=0.8,"Mayor","Catastrófico"))))),"")</f>
        <v/>
      </c>
      <c r="AB21" s="137" t="str">
        <f>IFERROR(IF(Q21="Impacto",(M21-(+M21*T21)),IF(Q21="Probabilidad",M21,"")),"")</f>
        <v/>
      </c>
      <c r="AC21" s="13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1"/>
      <c r="AE21" s="132"/>
      <c r="AF21" s="133"/>
      <c r="AG21" s="134"/>
      <c r="AH21" s="134"/>
      <c r="AI21" s="132"/>
      <c r="AJ21" s="133"/>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ht="90" hidden="1" customHeight="1" x14ac:dyDescent="0.3">
      <c r="A22" s="273"/>
      <c r="B22" s="275"/>
      <c r="C22" s="275"/>
      <c r="D22" s="275"/>
      <c r="E22" s="277"/>
      <c r="F22" s="275"/>
      <c r="G22" s="279"/>
      <c r="H22" s="281"/>
      <c r="I22" s="239"/>
      <c r="J22" s="284"/>
      <c r="K22" s="239">
        <f t="shared" ref="K22:K26" ca="1" si="15">IF(NOT(ISERROR(MATCH(J22,_xlfn.ANCHORARRAY(E33),0))),I35&amp;"Por favor no seleccionar los criterios de impacto",J22)</f>
        <v>0</v>
      </c>
      <c r="L22" s="281"/>
      <c r="M22" s="239"/>
      <c r="N22" s="270"/>
      <c r="O22" s="138">
        <v>2</v>
      </c>
      <c r="P22" s="123"/>
      <c r="Q22" s="124" t="str">
        <f>IF(OR(R22="Preventivo",R22="Detectivo"),"Probabilidad",IF(R22="Correctivo","Impacto",""))</f>
        <v/>
      </c>
      <c r="R22" s="125"/>
      <c r="S22" s="125"/>
      <c r="T22" s="126" t="str">
        <f t="shared" ref="T22:T26" si="16">IF(AND(R22="Preventivo",S22="Automático"),"50%",IF(AND(R22="Preventivo",S22="Manual"),"40%",IF(AND(R22="Detectivo",S22="Automático"),"40%",IF(AND(R22="Detectivo",S22="Manual"),"30%",IF(AND(R22="Correctivo",S22="Automático"),"35%",IF(AND(R22="Correctivo",S22="Manual"),"25%",""))))))</f>
        <v/>
      </c>
      <c r="U22" s="125"/>
      <c r="V22" s="125"/>
      <c r="W22" s="125"/>
      <c r="X22" s="136" t="str">
        <f>IFERROR(IF(AND(Q21="Probabilidad",Q22="Probabilidad"),(Z21-(+Z21*T22)),IF(Q22="Probabilidad",(I21-(+I21*T22)),IF(Q22="Impacto",Z21,""))),"")</f>
        <v/>
      </c>
      <c r="Y22" s="128" t="str">
        <f t="shared" si="1"/>
        <v/>
      </c>
      <c r="Z22" s="129" t="str">
        <f t="shared" ref="Z22:Z26" si="17">+X22</f>
        <v/>
      </c>
      <c r="AA22" s="128" t="str">
        <f t="shared" si="3"/>
        <v/>
      </c>
      <c r="AB22" s="137" t="str">
        <f>IFERROR(IF(AND(Q21="Impacto",Q22="Impacto"),(AB21-(+AB21*T22)),IF(Q22="Impacto",(M21-(+M21*T22)),IF(Q22="Probabilidad",AB21,""))),"")</f>
        <v/>
      </c>
      <c r="AC22" s="130" t="str">
        <f t="shared" ref="AC22:AC23" si="18">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1"/>
      <c r="AE22" s="132"/>
      <c r="AF22" s="133"/>
      <c r="AG22" s="134"/>
      <c r="AH22" s="134"/>
      <c r="AI22" s="132"/>
      <c r="AJ22" s="133"/>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row>
    <row r="23" spans="1:68" ht="43.5" hidden="1" customHeight="1" x14ac:dyDescent="0.3">
      <c r="A23" s="273"/>
      <c r="B23" s="275"/>
      <c r="C23" s="275"/>
      <c r="D23" s="275"/>
      <c r="E23" s="277"/>
      <c r="F23" s="275"/>
      <c r="G23" s="279"/>
      <c r="H23" s="281"/>
      <c r="I23" s="239"/>
      <c r="J23" s="284"/>
      <c r="K23" s="239">
        <f t="shared" ca="1" si="15"/>
        <v>0</v>
      </c>
      <c r="L23" s="281"/>
      <c r="M23" s="239"/>
      <c r="N23" s="270"/>
      <c r="O23" s="138">
        <v>3</v>
      </c>
      <c r="P23" s="135"/>
      <c r="Q23" s="124" t="str">
        <f>IF(OR(R23="Preventivo",R23="Detectivo"),"Probabilidad",IF(R23="Correctivo","Impacto",""))</f>
        <v/>
      </c>
      <c r="R23" s="125"/>
      <c r="S23" s="125"/>
      <c r="T23" s="126" t="str">
        <f t="shared" si="16"/>
        <v/>
      </c>
      <c r="U23" s="125"/>
      <c r="V23" s="125"/>
      <c r="W23" s="125"/>
      <c r="X23" s="127" t="str">
        <f>IFERROR(IF(AND(Q22="Probabilidad",Q23="Probabilidad"),(Z22-(+Z22*T23)),IF(AND(Q22="Impacto",Q23="Probabilidad"),(Z21-(+Z21*T23)),IF(Q23="Impacto",Z22,""))),"")</f>
        <v/>
      </c>
      <c r="Y23" s="128" t="str">
        <f t="shared" si="1"/>
        <v/>
      </c>
      <c r="Z23" s="129" t="str">
        <f t="shared" si="17"/>
        <v/>
      </c>
      <c r="AA23" s="128" t="str">
        <f t="shared" si="3"/>
        <v/>
      </c>
      <c r="AB23" s="137" t="str">
        <f>IFERROR(IF(AND(Q22="Impacto",Q23="Impacto"),(AB22-(+AB22*T23)),IF(AND(Q22="Probabilidad",Q23="Impacto"),(AB21-(+AB21*T23)),IF(Q23="Probabilidad",AB22,""))),"")</f>
        <v/>
      </c>
      <c r="AC23" s="130" t="str">
        <f t="shared" si="18"/>
        <v/>
      </c>
      <c r="AD23" s="131"/>
      <c r="AE23" s="132"/>
      <c r="AF23" s="133"/>
      <c r="AG23" s="134"/>
      <c r="AH23" s="134"/>
      <c r="AI23" s="132"/>
      <c r="AJ23" s="133"/>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151.5" hidden="1" customHeight="1" x14ac:dyDescent="0.3">
      <c r="A24" s="273"/>
      <c r="B24" s="275"/>
      <c r="C24" s="275"/>
      <c r="D24" s="275"/>
      <c r="E24" s="277"/>
      <c r="F24" s="275"/>
      <c r="G24" s="279"/>
      <c r="H24" s="281"/>
      <c r="I24" s="239"/>
      <c r="J24" s="284"/>
      <c r="K24" s="239">
        <f t="shared" ca="1" si="15"/>
        <v>0</v>
      </c>
      <c r="L24" s="281"/>
      <c r="M24" s="239"/>
      <c r="N24" s="270"/>
      <c r="O24" s="138">
        <v>4</v>
      </c>
      <c r="P24" s="123"/>
      <c r="Q24" s="124" t="str">
        <f t="shared" ref="Q24:Q26" si="19">IF(OR(R24="Preventivo",R24="Detectivo"),"Probabilidad",IF(R24="Correctivo","Impacto",""))</f>
        <v/>
      </c>
      <c r="R24" s="125"/>
      <c r="S24" s="125"/>
      <c r="T24" s="126" t="str">
        <f t="shared" si="16"/>
        <v/>
      </c>
      <c r="U24" s="125"/>
      <c r="V24" s="125"/>
      <c r="W24" s="125"/>
      <c r="X24" s="127" t="str">
        <f t="shared" ref="X24:X26" si="20">IFERROR(IF(AND(Q23="Probabilidad",Q24="Probabilidad"),(Z23-(+Z23*T24)),IF(AND(Q23="Impacto",Q24="Probabilidad"),(Z22-(+Z22*T24)),IF(Q24="Impacto",Z23,""))),"")</f>
        <v/>
      </c>
      <c r="Y24" s="128" t="str">
        <f t="shared" si="1"/>
        <v/>
      </c>
      <c r="Z24" s="129" t="str">
        <f t="shared" si="17"/>
        <v/>
      </c>
      <c r="AA24" s="128" t="str">
        <f t="shared" si="3"/>
        <v/>
      </c>
      <c r="AB24" s="137" t="str">
        <f t="shared" ref="AB24:AB26" si="21">IFERROR(IF(AND(Q23="Impacto",Q24="Impacto"),(AB23-(+AB23*T24)),IF(AND(Q23="Probabilidad",Q24="Impacto"),(AB22-(+AB22*T24)),IF(Q24="Probabilidad",AB23,""))),"")</f>
        <v/>
      </c>
      <c r="AC24" s="130"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32"/>
      <c r="AF24" s="133"/>
      <c r="AG24" s="134"/>
      <c r="AH24" s="134"/>
      <c r="AI24" s="132"/>
      <c r="AJ24" s="133"/>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151.5" hidden="1" customHeight="1" x14ac:dyDescent="0.3">
      <c r="A25" s="273"/>
      <c r="B25" s="275"/>
      <c r="C25" s="275"/>
      <c r="D25" s="275"/>
      <c r="E25" s="277"/>
      <c r="F25" s="275"/>
      <c r="G25" s="279"/>
      <c r="H25" s="281"/>
      <c r="I25" s="239"/>
      <c r="J25" s="284"/>
      <c r="K25" s="239">
        <f t="shared" ca="1" si="15"/>
        <v>0</v>
      </c>
      <c r="L25" s="281"/>
      <c r="M25" s="239"/>
      <c r="N25" s="270"/>
      <c r="O25" s="138">
        <v>5</v>
      </c>
      <c r="P25" s="123"/>
      <c r="Q25" s="124" t="str">
        <f t="shared" si="19"/>
        <v/>
      </c>
      <c r="R25" s="125"/>
      <c r="S25" s="125"/>
      <c r="T25" s="126" t="str">
        <f t="shared" si="16"/>
        <v/>
      </c>
      <c r="U25" s="125"/>
      <c r="V25" s="125"/>
      <c r="W25" s="125"/>
      <c r="X25" s="127" t="str">
        <f t="shared" si="20"/>
        <v/>
      </c>
      <c r="Y25" s="128" t="str">
        <f t="shared" si="1"/>
        <v/>
      </c>
      <c r="Z25" s="129" t="str">
        <f t="shared" si="17"/>
        <v/>
      </c>
      <c r="AA25" s="128" t="str">
        <f t="shared" si="3"/>
        <v/>
      </c>
      <c r="AB25" s="137" t="str">
        <f t="shared" si="21"/>
        <v/>
      </c>
      <c r="AC25" s="130" t="str">
        <f t="shared" ref="AC25:AC26" si="2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33"/>
      <c r="AG25" s="134"/>
      <c r="AH25" s="134"/>
      <c r="AI25" s="132"/>
      <c r="AJ25" s="133"/>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151.5" hidden="1" customHeight="1" x14ac:dyDescent="0.3">
      <c r="A26" s="274"/>
      <c r="B26" s="213"/>
      <c r="C26" s="213"/>
      <c r="D26" s="213"/>
      <c r="E26" s="278"/>
      <c r="F26" s="213"/>
      <c r="G26" s="215"/>
      <c r="H26" s="282"/>
      <c r="I26" s="240"/>
      <c r="J26" s="285"/>
      <c r="K26" s="240">
        <f t="shared" ca="1" si="15"/>
        <v>0</v>
      </c>
      <c r="L26" s="282"/>
      <c r="M26" s="240"/>
      <c r="N26" s="271"/>
      <c r="O26" s="138">
        <v>6</v>
      </c>
      <c r="P26" s="123"/>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37" t="str">
        <f t="shared" si="21"/>
        <v/>
      </c>
      <c r="AC26" s="130" t="str">
        <f t="shared" si="22"/>
        <v/>
      </c>
      <c r="AD26" s="131"/>
      <c r="AE26" s="132"/>
      <c r="AF26" s="133"/>
      <c r="AG26" s="134"/>
      <c r="AH26" s="134"/>
      <c r="AI26" s="132"/>
      <c r="AJ26" s="133"/>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151.5" hidden="1" customHeight="1" x14ac:dyDescent="0.3">
      <c r="A27" s="272">
        <v>4</v>
      </c>
      <c r="B27" s="212"/>
      <c r="C27" s="212"/>
      <c r="D27" s="212"/>
      <c r="E27" s="276"/>
      <c r="F27" s="212"/>
      <c r="G27" s="214"/>
      <c r="H27" s="280" t="str">
        <f>IF(G27&lt;=0,"",IF(G27&lt;=2,"Muy Baja",IF(G27&lt;=24,"Baja",IF(G27&lt;=500,"Media",IF(G27&lt;=5000,"Alta","Muy Alta")))))</f>
        <v/>
      </c>
      <c r="I27" s="238" t="str">
        <f>IF(H27="","",IF(H27="Muy Baja",0.2,IF(H27="Baja",0.4,IF(H27="Media",0.6,IF(H27="Alta",0.8,IF(H27="Muy Alta",1,))))))</f>
        <v/>
      </c>
      <c r="J27" s="283"/>
      <c r="K27" s="238">
        <f ca="1">IF(NOT(ISERROR(MATCH(J27,'Tabla Impacto'!$B$221:$B$223,0))),'Tabla Impacto'!$F$223&amp;"Por favor no seleccionar los criterios de impacto(Afectación Económica o presupuestal y Pérdida Reputacional)",J27)</f>
        <v>0</v>
      </c>
      <c r="L27" s="280" t="str">
        <f ca="1">IF(OR(K27='Tabla Impacto'!$C$11,K27='Tabla Impacto'!$D$11),"Leve",IF(OR(K27='Tabla Impacto'!$C$12,K27='Tabla Impacto'!$D$12),"Menor",IF(OR(K27='Tabla Impacto'!$C$13,K27='Tabla Impacto'!$D$13),"Moderado",IF(OR(K27='Tabla Impacto'!$C$14,K27='Tabla Impacto'!$D$14),"Mayor",IF(OR(K27='Tabla Impacto'!$C$15,K27='Tabla Impacto'!$D$15),"Catastrófico","")))))</f>
        <v/>
      </c>
      <c r="M27" s="238" t="str">
        <f ca="1">IF(L27="","",IF(L27="Leve",0.2,IF(L27="Menor",0.4,IF(L27="Moderado",0.6,IF(L27="Mayor",0.8,IF(L27="Catastrófico",1,))))))</f>
        <v/>
      </c>
      <c r="N27" s="269"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38">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t="str">
        <f>IFERROR(IF(Q27="Probabilidad",(I27-(+I27*T27)),IF(Q27="Impacto",I27,"")),"")</f>
        <v/>
      </c>
      <c r="Y27" s="128" t="str">
        <f>IFERROR(IF(X27="","",IF(X27&lt;=0.2,"Muy Baja",IF(X27&lt;=0.4,"Baja",IF(X27&lt;=0.6,"Media",IF(X27&lt;=0.8,"Alta","Muy Alta"))))),"")</f>
        <v/>
      </c>
      <c r="Z27" s="129" t="str">
        <f>+X27</f>
        <v/>
      </c>
      <c r="AA27" s="128" t="str">
        <f>IFERROR(IF(AB27="","",IF(AB27&lt;=0.2,"Leve",IF(AB27&lt;=0.4,"Menor",IF(AB27&lt;=0.6,"Moderado",IF(AB27&lt;=0.8,"Mayor","Catastrófico"))))),"")</f>
        <v/>
      </c>
      <c r="AB27" s="137" t="str">
        <f>IFERROR(IF(Q27="Impacto",(M27-(+M27*T27)),IF(Q27="Probabilidad",M27,"")),"")</f>
        <v/>
      </c>
      <c r="AC27" s="130"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1"/>
      <c r="AE27" s="132"/>
      <c r="AF27" s="133"/>
      <c r="AG27" s="134"/>
      <c r="AH27" s="134"/>
      <c r="AI27" s="132"/>
      <c r="AJ27" s="133"/>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150" hidden="1" customHeight="1" x14ac:dyDescent="0.3">
      <c r="A28" s="273"/>
      <c r="B28" s="275"/>
      <c r="C28" s="275"/>
      <c r="D28" s="275"/>
      <c r="E28" s="277"/>
      <c r="F28" s="275"/>
      <c r="G28" s="279"/>
      <c r="H28" s="281"/>
      <c r="I28" s="239"/>
      <c r="J28" s="284"/>
      <c r="K28" s="239">
        <f t="shared" ref="K28:K32" ca="1" si="23">IF(NOT(ISERROR(MATCH(J28,_xlfn.ANCHORARRAY(E39),0))),I41&amp;"Por favor no seleccionar los criterios de impacto",J28)</f>
        <v>0</v>
      </c>
      <c r="L28" s="281"/>
      <c r="M28" s="239"/>
      <c r="N28" s="270"/>
      <c r="O28" s="138">
        <v>2</v>
      </c>
      <c r="P28" s="123"/>
      <c r="Q28" s="124" t="str">
        <f>IF(OR(R28="Preventivo",R28="Detectivo"),"Probabilidad",IF(R28="Correctivo","Impacto",""))</f>
        <v/>
      </c>
      <c r="R28" s="125"/>
      <c r="S28" s="125"/>
      <c r="T28" s="126" t="str">
        <f t="shared" ref="T28:T32" si="24">IF(AND(R28="Preventivo",S28="Automático"),"50%",IF(AND(R28="Preventivo",S28="Manual"),"40%",IF(AND(R28="Detectivo",S28="Automático"),"40%",IF(AND(R28="Detectivo",S28="Manual"),"30%",IF(AND(R28="Correctivo",S28="Automático"),"35%",IF(AND(R28="Correctivo",S28="Manual"),"25%",""))))))</f>
        <v/>
      </c>
      <c r="U28" s="125"/>
      <c r="V28" s="125"/>
      <c r="W28" s="125"/>
      <c r="X28" s="127" t="str">
        <f>IFERROR(IF(AND(Q27="Probabilidad",Q28="Probabilidad"),(Z27-(+Z27*T28)),IF(Q28="Probabilidad",(I27-(+I27*T28)),IF(Q28="Impacto",Z27,""))),"")</f>
        <v/>
      </c>
      <c r="Y28" s="128" t="str">
        <f t="shared" si="1"/>
        <v/>
      </c>
      <c r="Z28" s="129" t="str">
        <f t="shared" ref="Z28:Z32" si="25">+X28</f>
        <v/>
      </c>
      <c r="AA28" s="128" t="str">
        <f t="shared" si="3"/>
        <v/>
      </c>
      <c r="AB28" s="137" t="str">
        <f>IFERROR(IF(AND(Q27="Impacto",Q28="Impacto"),(AB27-(+AB27*T28)),IF(Q28="Impacto",(M27-(+M27*T28)),IF(Q28="Probabilidad",AB27,""))),"")</f>
        <v/>
      </c>
      <c r="AC28" s="130" t="str">
        <f t="shared" ref="AC28:AC29" si="26">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1"/>
      <c r="AE28" s="132"/>
      <c r="AF28" s="133"/>
      <c r="AG28" s="134"/>
      <c r="AH28" s="134"/>
      <c r="AI28" s="132"/>
      <c r="AJ28" s="133"/>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151.5" hidden="1" customHeight="1" x14ac:dyDescent="0.3">
      <c r="A29" s="273"/>
      <c r="B29" s="275"/>
      <c r="C29" s="275"/>
      <c r="D29" s="275"/>
      <c r="E29" s="277"/>
      <c r="F29" s="275"/>
      <c r="G29" s="279"/>
      <c r="H29" s="281"/>
      <c r="I29" s="239"/>
      <c r="J29" s="284"/>
      <c r="K29" s="239">
        <f t="shared" ca="1" si="23"/>
        <v>0</v>
      </c>
      <c r="L29" s="281"/>
      <c r="M29" s="239"/>
      <c r="N29" s="270"/>
      <c r="O29" s="138">
        <v>3</v>
      </c>
      <c r="P29" s="135"/>
      <c r="Q29" s="124" t="str">
        <f>IF(OR(R29="Preventivo",R29="Detectivo"),"Probabilidad",IF(R29="Correctivo","Impacto",""))</f>
        <v/>
      </c>
      <c r="R29" s="125"/>
      <c r="S29" s="125"/>
      <c r="T29" s="126" t="str">
        <f t="shared" si="24"/>
        <v/>
      </c>
      <c r="U29" s="125"/>
      <c r="V29" s="125"/>
      <c r="W29" s="125"/>
      <c r="X29" s="127" t="str">
        <f>IFERROR(IF(AND(Q28="Probabilidad",Q29="Probabilidad"),(Z28-(+Z28*T29)),IF(AND(Q28="Impacto",Q29="Probabilidad"),(Z27-(+Z27*T29)),IF(Q29="Impacto",Z28,""))),"")</f>
        <v/>
      </c>
      <c r="Y29" s="128" t="str">
        <f t="shared" si="1"/>
        <v/>
      </c>
      <c r="Z29" s="129" t="str">
        <f t="shared" si="25"/>
        <v/>
      </c>
      <c r="AA29" s="128" t="str">
        <f t="shared" si="3"/>
        <v/>
      </c>
      <c r="AB29" s="137" t="str">
        <f>IFERROR(IF(AND(Q28="Impacto",Q29="Impacto"),(AB28-(+AB28*T29)),IF(AND(Q28="Probabilidad",Q29="Impacto"),(AB27-(+AB27*T29)),IF(Q29="Probabilidad",AB28,""))),"")</f>
        <v/>
      </c>
      <c r="AC29" s="130" t="str">
        <f t="shared" si="26"/>
        <v/>
      </c>
      <c r="AD29" s="131"/>
      <c r="AE29" s="132"/>
      <c r="AF29" s="133"/>
      <c r="AG29" s="134"/>
      <c r="AH29" s="134"/>
      <c r="AI29" s="132"/>
      <c r="AJ29" s="133"/>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51.5" hidden="1" customHeight="1" x14ac:dyDescent="0.3">
      <c r="A30" s="273"/>
      <c r="B30" s="275"/>
      <c r="C30" s="275"/>
      <c r="D30" s="275"/>
      <c r="E30" s="277"/>
      <c r="F30" s="275"/>
      <c r="G30" s="279"/>
      <c r="H30" s="281"/>
      <c r="I30" s="239"/>
      <c r="J30" s="284"/>
      <c r="K30" s="239">
        <f t="shared" ca="1" si="23"/>
        <v>0</v>
      </c>
      <c r="L30" s="281"/>
      <c r="M30" s="239"/>
      <c r="N30" s="270"/>
      <c r="O30" s="138">
        <v>4</v>
      </c>
      <c r="P30" s="123"/>
      <c r="Q30" s="124" t="str">
        <f t="shared" ref="Q30:Q32" si="27">IF(OR(R30="Preventivo",R30="Detectivo"),"Probabilidad",IF(R30="Correctivo","Impacto",""))</f>
        <v/>
      </c>
      <c r="R30" s="125"/>
      <c r="S30" s="125"/>
      <c r="T30" s="126" t="str">
        <f t="shared" si="24"/>
        <v/>
      </c>
      <c r="U30" s="125"/>
      <c r="V30" s="125"/>
      <c r="W30" s="125"/>
      <c r="X30" s="127" t="str">
        <f t="shared" ref="X30:X32" si="28">IFERROR(IF(AND(Q29="Probabilidad",Q30="Probabilidad"),(Z29-(+Z29*T30)),IF(AND(Q29="Impacto",Q30="Probabilidad"),(Z28-(+Z28*T30)),IF(Q30="Impacto",Z29,""))),"")</f>
        <v/>
      </c>
      <c r="Y30" s="128" t="str">
        <f t="shared" si="1"/>
        <v/>
      </c>
      <c r="Z30" s="129" t="str">
        <f t="shared" si="25"/>
        <v/>
      </c>
      <c r="AA30" s="128" t="str">
        <f t="shared" si="3"/>
        <v/>
      </c>
      <c r="AB30" s="137" t="str">
        <f t="shared" ref="AB30:AB32" si="29">IFERROR(IF(AND(Q29="Impacto",Q30="Impacto"),(AB29-(+AB29*T30)),IF(AND(Q29="Probabilidad",Q30="Impacto"),(AB28-(+AB28*T30)),IF(Q30="Probabilidad",AB29,""))),"")</f>
        <v/>
      </c>
      <c r="AC30" s="130"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1"/>
      <c r="AE30" s="132"/>
      <c r="AF30" s="133"/>
      <c r="AG30" s="134"/>
      <c r="AH30" s="134"/>
      <c r="AI30" s="132"/>
      <c r="AJ30" s="133"/>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151.5" hidden="1" customHeight="1" x14ac:dyDescent="0.3">
      <c r="A31" s="273"/>
      <c r="B31" s="275"/>
      <c r="C31" s="275"/>
      <c r="D31" s="275"/>
      <c r="E31" s="277"/>
      <c r="F31" s="275"/>
      <c r="G31" s="279"/>
      <c r="H31" s="281"/>
      <c r="I31" s="239"/>
      <c r="J31" s="284"/>
      <c r="K31" s="239">
        <f t="shared" ca="1" si="23"/>
        <v>0</v>
      </c>
      <c r="L31" s="281"/>
      <c r="M31" s="239"/>
      <c r="N31" s="270"/>
      <c r="O31" s="138">
        <v>5</v>
      </c>
      <c r="P31" s="123"/>
      <c r="Q31" s="124" t="str">
        <f t="shared" si="27"/>
        <v/>
      </c>
      <c r="R31" s="125"/>
      <c r="S31" s="125"/>
      <c r="T31" s="126" t="str">
        <f t="shared" si="24"/>
        <v/>
      </c>
      <c r="U31" s="125"/>
      <c r="V31" s="125"/>
      <c r="W31" s="125"/>
      <c r="X31" s="136" t="str">
        <f t="shared" si="28"/>
        <v/>
      </c>
      <c r="Y31" s="128" t="str">
        <f>IFERROR(IF(X31="","",IF(X31&lt;=0.2,"Muy Baja",IF(X31&lt;=0.4,"Baja",IF(X31&lt;=0.6,"Media",IF(X31&lt;=0.8,"Alta","Muy Alta"))))),"")</f>
        <v/>
      </c>
      <c r="Z31" s="129" t="str">
        <f t="shared" si="25"/>
        <v/>
      </c>
      <c r="AA31" s="128" t="str">
        <f t="shared" si="3"/>
        <v/>
      </c>
      <c r="AB31" s="137" t="str">
        <f t="shared" si="29"/>
        <v/>
      </c>
      <c r="AC31" s="130" t="str">
        <f t="shared" ref="AC31:AC32" si="30">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32"/>
      <c r="AF31" s="133"/>
      <c r="AG31" s="134"/>
      <c r="AH31" s="134"/>
      <c r="AI31" s="132"/>
      <c r="AJ31" s="133"/>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151.5" hidden="1" customHeight="1" x14ac:dyDescent="0.3">
      <c r="A32" s="274"/>
      <c r="B32" s="213"/>
      <c r="C32" s="213"/>
      <c r="D32" s="213"/>
      <c r="E32" s="278"/>
      <c r="F32" s="213"/>
      <c r="G32" s="215"/>
      <c r="H32" s="282"/>
      <c r="I32" s="240"/>
      <c r="J32" s="285"/>
      <c r="K32" s="240">
        <f t="shared" ca="1" si="23"/>
        <v>0</v>
      </c>
      <c r="L32" s="282"/>
      <c r="M32" s="240"/>
      <c r="N32" s="271"/>
      <c r="O32" s="138">
        <v>6</v>
      </c>
      <c r="P32" s="123"/>
      <c r="Q32" s="124" t="str">
        <f t="shared" si="27"/>
        <v/>
      </c>
      <c r="R32" s="125"/>
      <c r="S32" s="125"/>
      <c r="T32" s="126" t="str">
        <f t="shared" si="24"/>
        <v/>
      </c>
      <c r="U32" s="125"/>
      <c r="V32" s="125"/>
      <c r="W32" s="125"/>
      <c r="X32" s="127" t="str">
        <f t="shared" si="28"/>
        <v/>
      </c>
      <c r="Y32" s="128" t="str">
        <f t="shared" si="1"/>
        <v/>
      </c>
      <c r="Z32" s="129" t="str">
        <f t="shared" si="25"/>
        <v/>
      </c>
      <c r="AA32" s="128" t="str">
        <f t="shared" si="3"/>
        <v/>
      </c>
      <c r="AB32" s="137" t="str">
        <f t="shared" si="29"/>
        <v/>
      </c>
      <c r="AC32" s="130" t="str">
        <f t="shared" si="30"/>
        <v/>
      </c>
      <c r="AD32" s="131"/>
      <c r="AE32" s="132"/>
      <c r="AF32" s="133"/>
      <c r="AG32" s="134"/>
      <c r="AH32" s="134"/>
      <c r="AI32" s="132"/>
      <c r="AJ32" s="133"/>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151.5" hidden="1" customHeight="1" x14ac:dyDescent="0.3">
      <c r="A33" s="272">
        <v>5</v>
      </c>
      <c r="B33" s="212"/>
      <c r="C33" s="212"/>
      <c r="D33" s="212"/>
      <c r="E33" s="276"/>
      <c r="F33" s="212"/>
      <c r="G33" s="214"/>
      <c r="H33" s="280" t="str">
        <f>IF(G33&lt;=0,"",IF(G33&lt;=2,"Muy Baja",IF(G33&lt;=24,"Baja",IF(G33&lt;=500,"Media",IF(G33&lt;=5000,"Alta","Muy Alta")))))</f>
        <v/>
      </c>
      <c r="I33" s="238" t="str">
        <f>IF(H33="","",IF(H33="Muy Baja",0.2,IF(H33="Baja",0.4,IF(H33="Media",0.6,IF(H33="Alta",0.8,IF(H33="Muy Alta",1,))))))</f>
        <v/>
      </c>
      <c r="J33" s="283"/>
      <c r="K33" s="238">
        <f ca="1">IF(NOT(ISERROR(MATCH(J33,'Tabla Impacto'!$B$221:$B$223,0))),'Tabla Impacto'!$F$223&amp;"Por favor no seleccionar los criterios de impacto(Afectación Económica o presupuestal y Pérdida Reputacional)",J33)</f>
        <v>0</v>
      </c>
      <c r="L33" s="280" t="str">
        <f ca="1">IF(OR(K33='Tabla Impacto'!$C$11,K33='Tabla Impacto'!$D$11),"Leve",IF(OR(K33='Tabla Impacto'!$C$12,K33='Tabla Impacto'!$D$12),"Menor",IF(OR(K33='Tabla Impacto'!$C$13,K33='Tabla Impacto'!$D$13),"Moderado",IF(OR(K33='Tabla Impacto'!$C$14,K33='Tabla Impacto'!$D$14),"Mayor",IF(OR(K33='Tabla Impacto'!$C$15,K33='Tabla Impacto'!$D$15),"Catastrófico","")))))</f>
        <v/>
      </c>
      <c r="M33" s="238" t="str">
        <f ca="1">IF(L33="","",IF(L33="Leve",0.2,IF(L33="Menor",0.4,IF(L33="Moderado",0.6,IF(L33="Mayor",0.8,IF(L33="Catastrófico",1,))))))</f>
        <v/>
      </c>
      <c r="N33" s="269"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38">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9" t="str">
        <f>+X33</f>
        <v/>
      </c>
      <c r="AA33" s="128" t="str">
        <f>IFERROR(IF(AB33="","",IF(AB33&lt;=0.2,"Leve",IF(AB33&lt;=0.4,"Menor",IF(AB33&lt;=0.6,"Moderado",IF(AB33&lt;=0.8,"Mayor","Catastrófico"))))),"")</f>
        <v/>
      </c>
      <c r="AB33" s="137" t="str">
        <f>IFERROR(IF(Q33="Impacto",(M33-(+M33*T33)),IF(Q33="Probabilidad",M33,"")),"")</f>
        <v/>
      </c>
      <c r="AC33" s="130"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1"/>
      <c r="AE33" s="132"/>
      <c r="AF33" s="133"/>
      <c r="AG33" s="134"/>
      <c r="AH33" s="134"/>
      <c r="AI33" s="132"/>
      <c r="AJ33" s="133"/>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142.5" hidden="1" customHeight="1" x14ac:dyDescent="0.3">
      <c r="A34" s="273"/>
      <c r="B34" s="275"/>
      <c r="C34" s="275"/>
      <c r="D34" s="275"/>
      <c r="E34" s="277"/>
      <c r="F34" s="275"/>
      <c r="G34" s="279"/>
      <c r="H34" s="281"/>
      <c r="I34" s="239"/>
      <c r="J34" s="284"/>
      <c r="K34" s="239">
        <f t="shared" ref="K34:K38" ca="1" si="31">IF(NOT(ISERROR(MATCH(J34,_xlfn.ANCHORARRAY(E45),0))),I47&amp;"Por favor no seleccionar los criterios de impacto",J34)</f>
        <v>0</v>
      </c>
      <c r="L34" s="281"/>
      <c r="M34" s="239"/>
      <c r="N34" s="270"/>
      <c r="O34" s="138">
        <v>2</v>
      </c>
      <c r="P34" s="123"/>
      <c r="Q34" s="124" t="str">
        <f>IF(OR(R34="Preventivo",R34="Detectivo"),"Probabilidad",IF(R34="Correctivo","Impacto",""))</f>
        <v/>
      </c>
      <c r="R34" s="125"/>
      <c r="S34" s="125"/>
      <c r="T34" s="126" t="str">
        <f t="shared" ref="T34:T38" si="32">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1"/>
        <v/>
      </c>
      <c r="Z34" s="129" t="str">
        <f t="shared" ref="Z34:Z38" si="33">+X34</f>
        <v/>
      </c>
      <c r="AA34" s="128" t="str">
        <f t="shared" si="3"/>
        <v/>
      </c>
      <c r="AB34" s="137" t="str">
        <f>IFERROR(IF(AND(Q33="Impacto",Q34="Impacto"),(AB33-(+AB33*T34)),IF(Q34="Impacto",(M33-(+M33*T34)),IF(Q34="Probabilidad",AB33,""))),"")</f>
        <v/>
      </c>
      <c r="AC34" s="130" t="str">
        <f t="shared" ref="AC34:AC35" si="3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1"/>
      <c r="AE34" s="132"/>
      <c r="AF34" s="133"/>
      <c r="AG34" s="134"/>
      <c r="AH34" s="134"/>
      <c r="AI34" s="132"/>
      <c r="AJ34" s="133"/>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96" hidden="1" customHeight="1" x14ac:dyDescent="0.3">
      <c r="A35" s="273"/>
      <c r="B35" s="275"/>
      <c r="C35" s="275"/>
      <c r="D35" s="275"/>
      <c r="E35" s="277"/>
      <c r="F35" s="275"/>
      <c r="G35" s="279"/>
      <c r="H35" s="281"/>
      <c r="I35" s="239"/>
      <c r="J35" s="284"/>
      <c r="K35" s="239">
        <f t="shared" ca="1" si="31"/>
        <v>0</v>
      </c>
      <c r="L35" s="281"/>
      <c r="M35" s="239"/>
      <c r="N35" s="270"/>
      <c r="O35" s="138">
        <v>3</v>
      </c>
      <c r="P35" s="135"/>
      <c r="Q35" s="124" t="str">
        <f>IF(OR(R35="Preventivo",R35="Detectivo"),"Probabilidad",IF(R35="Correctivo","Impacto",""))</f>
        <v/>
      </c>
      <c r="R35" s="125"/>
      <c r="S35" s="125"/>
      <c r="T35" s="126" t="str">
        <f t="shared" si="32"/>
        <v/>
      </c>
      <c r="U35" s="125"/>
      <c r="V35" s="125"/>
      <c r="W35" s="125"/>
      <c r="X35" s="127" t="str">
        <f>IFERROR(IF(AND(Q34="Probabilidad",Q35="Probabilidad"),(Z34-(+Z34*T35)),IF(AND(Q34="Impacto",Q35="Probabilidad"),(Z33-(+Z33*T35)),IF(Q35="Impacto",Z34,""))),"")</f>
        <v/>
      </c>
      <c r="Y35" s="128" t="str">
        <f t="shared" si="1"/>
        <v/>
      </c>
      <c r="Z35" s="129" t="str">
        <f t="shared" si="33"/>
        <v/>
      </c>
      <c r="AA35" s="128" t="str">
        <f t="shared" si="3"/>
        <v/>
      </c>
      <c r="AB35" s="137" t="str">
        <f>IFERROR(IF(AND(Q34="Impacto",Q35="Impacto"),(AB34-(+AB34*T35)),IF(AND(Q34="Probabilidad",Q35="Impacto"),(AB33-(+AB33*T35)),IF(Q35="Probabilidad",AB34,""))),"")</f>
        <v/>
      </c>
      <c r="AC35" s="130" t="str">
        <f t="shared" si="34"/>
        <v/>
      </c>
      <c r="AD35" s="131"/>
      <c r="AE35" s="132"/>
      <c r="AF35" s="133"/>
      <c r="AG35" s="134"/>
      <c r="AH35" s="134"/>
      <c r="AI35" s="132"/>
      <c r="AJ35" s="133"/>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151.5" hidden="1" customHeight="1" x14ac:dyDescent="0.3">
      <c r="A36" s="273"/>
      <c r="B36" s="275"/>
      <c r="C36" s="275"/>
      <c r="D36" s="275"/>
      <c r="E36" s="277"/>
      <c r="F36" s="275"/>
      <c r="G36" s="279"/>
      <c r="H36" s="281"/>
      <c r="I36" s="239"/>
      <c r="J36" s="284"/>
      <c r="K36" s="239">
        <f t="shared" ca="1" si="31"/>
        <v>0</v>
      </c>
      <c r="L36" s="281"/>
      <c r="M36" s="239"/>
      <c r="N36" s="270"/>
      <c r="O36" s="138">
        <v>4</v>
      </c>
      <c r="P36" s="123"/>
      <c r="Q36" s="124" t="str">
        <f t="shared" ref="Q36:Q38" si="35">IF(OR(R36="Preventivo",R36="Detectivo"),"Probabilidad",IF(R36="Correctivo","Impacto",""))</f>
        <v/>
      </c>
      <c r="R36" s="125"/>
      <c r="S36" s="125"/>
      <c r="T36" s="126" t="str">
        <f t="shared" si="32"/>
        <v/>
      </c>
      <c r="U36" s="125"/>
      <c r="V36" s="125"/>
      <c r="W36" s="125"/>
      <c r="X36" s="127" t="str">
        <f t="shared" ref="X36:X38" si="36">IFERROR(IF(AND(Q35="Probabilidad",Q36="Probabilidad"),(Z35-(+Z35*T36)),IF(AND(Q35="Impacto",Q36="Probabilidad"),(Z34-(+Z34*T36)),IF(Q36="Impacto",Z35,""))),"")</f>
        <v/>
      </c>
      <c r="Y36" s="128" t="str">
        <f t="shared" si="1"/>
        <v/>
      </c>
      <c r="Z36" s="129" t="str">
        <f t="shared" si="33"/>
        <v/>
      </c>
      <c r="AA36" s="128" t="str">
        <f t="shared" si="3"/>
        <v/>
      </c>
      <c r="AB36" s="137" t="str">
        <f t="shared" ref="AB36:AB38" si="37">IFERROR(IF(AND(Q35="Impacto",Q36="Impacto"),(AB35-(+AB35*T36)),IF(AND(Q35="Probabilidad",Q36="Impacto"),(AB34-(+AB34*T36)),IF(Q36="Probabilidad",AB35,""))),"")</f>
        <v/>
      </c>
      <c r="AC36" s="130"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1"/>
      <c r="AE36" s="132"/>
      <c r="AF36" s="133"/>
      <c r="AG36" s="134"/>
      <c r="AH36" s="134"/>
      <c r="AI36" s="132"/>
      <c r="AJ36" s="133"/>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151.5" hidden="1" customHeight="1" x14ac:dyDescent="0.3">
      <c r="A37" s="273"/>
      <c r="B37" s="275"/>
      <c r="C37" s="275"/>
      <c r="D37" s="275"/>
      <c r="E37" s="277"/>
      <c r="F37" s="275"/>
      <c r="G37" s="279"/>
      <c r="H37" s="281"/>
      <c r="I37" s="239"/>
      <c r="J37" s="284"/>
      <c r="K37" s="239">
        <f t="shared" ca="1" si="31"/>
        <v>0</v>
      </c>
      <c r="L37" s="281"/>
      <c r="M37" s="239"/>
      <c r="N37" s="270"/>
      <c r="O37" s="138">
        <v>5</v>
      </c>
      <c r="P37" s="123"/>
      <c r="Q37" s="124" t="str">
        <f t="shared" si="35"/>
        <v/>
      </c>
      <c r="R37" s="125"/>
      <c r="S37" s="125"/>
      <c r="T37" s="126" t="str">
        <f t="shared" si="32"/>
        <v/>
      </c>
      <c r="U37" s="125"/>
      <c r="V37" s="125"/>
      <c r="W37" s="125"/>
      <c r="X37" s="127" t="str">
        <f t="shared" si="36"/>
        <v/>
      </c>
      <c r="Y37" s="128" t="str">
        <f t="shared" si="1"/>
        <v/>
      </c>
      <c r="Z37" s="129" t="str">
        <f t="shared" si="33"/>
        <v/>
      </c>
      <c r="AA37" s="128" t="str">
        <f t="shared" si="3"/>
        <v/>
      </c>
      <c r="AB37" s="137" t="str">
        <f t="shared" si="37"/>
        <v/>
      </c>
      <c r="AC37" s="130" t="str">
        <f t="shared" ref="AC37:AC38" si="3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1"/>
      <c r="AE37" s="132"/>
      <c r="AF37" s="133"/>
      <c r="AG37" s="134"/>
      <c r="AH37" s="134"/>
      <c r="AI37" s="132"/>
      <c r="AJ37" s="133"/>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151.5" hidden="1" customHeight="1" x14ac:dyDescent="0.3">
      <c r="A38" s="274"/>
      <c r="B38" s="213"/>
      <c r="C38" s="213"/>
      <c r="D38" s="213"/>
      <c r="E38" s="278"/>
      <c r="F38" s="213"/>
      <c r="G38" s="215"/>
      <c r="H38" s="282"/>
      <c r="I38" s="240"/>
      <c r="J38" s="285"/>
      <c r="K38" s="240">
        <f t="shared" ca="1" si="31"/>
        <v>0</v>
      </c>
      <c r="L38" s="282"/>
      <c r="M38" s="240"/>
      <c r="N38" s="271"/>
      <c r="O38" s="138">
        <v>6</v>
      </c>
      <c r="P38" s="123"/>
      <c r="Q38" s="124" t="str">
        <f t="shared" si="35"/>
        <v/>
      </c>
      <c r="R38" s="125"/>
      <c r="S38" s="125"/>
      <c r="T38" s="126" t="str">
        <f t="shared" si="32"/>
        <v/>
      </c>
      <c r="U38" s="125"/>
      <c r="V38" s="125"/>
      <c r="W38" s="125"/>
      <c r="X38" s="127" t="str">
        <f t="shared" si="36"/>
        <v/>
      </c>
      <c r="Y38" s="128" t="str">
        <f t="shared" si="1"/>
        <v/>
      </c>
      <c r="Z38" s="129" t="str">
        <f t="shared" si="33"/>
        <v/>
      </c>
      <c r="AA38" s="128" t="str">
        <f t="shared" si="3"/>
        <v/>
      </c>
      <c r="AB38" s="137" t="str">
        <f t="shared" si="37"/>
        <v/>
      </c>
      <c r="AC38" s="130" t="str">
        <f t="shared" si="38"/>
        <v/>
      </c>
      <c r="AD38" s="131"/>
      <c r="AE38" s="132"/>
      <c r="AF38" s="133"/>
      <c r="AG38" s="134"/>
      <c r="AH38" s="134"/>
      <c r="AI38" s="132"/>
      <c r="AJ38" s="133"/>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51.5" hidden="1" customHeight="1" x14ac:dyDescent="0.3">
      <c r="A39" s="272">
        <v>6</v>
      </c>
      <c r="B39" s="212"/>
      <c r="C39" s="212"/>
      <c r="D39" s="212"/>
      <c r="E39" s="276"/>
      <c r="F39" s="212"/>
      <c r="G39" s="214"/>
      <c r="H39" s="280" t="str">
        <f>IF(G39&lt;=0,"",IF(G39&lt;=2,"Muy Baja",IF(G39&lt;=24,"Baja",IF(G39&lt;=500,"Media",IF(G39&lt;=5000,"Alta","Muy Alta")))))</f>
        <v/>
      </c>
      <c r="I39" s="238" t="str">
        <f>IF(H39="","",IF(H39="Muy Baja",0.2,IF(H39="Baja",0.4,IF(H39="Media",0.6,IF(H39="Alta",0.8,IF(H39="Muy Alta",1,))))))</f>
        <v/>
      </c>
      <c r="J39" s="283"/>
      <c r="K39" s="238">
        <f ca="1">IF(NOT(ISERROR(MATCH(J39,'Tabla Impacto'!$B$221:$B$223,0))),'Tabla Impacto'!$F$223&amp;"Por favor no seleccionar los criterios de impacto(Afectación Económica o presupuestal y Pérdida Reputacional)",J39)</f>
        <v>0</v>
      </c>
      <c r="L39" s="280" t="str">
        <f ca="1">IF(OR(K39='Tabla Impacto'!$C$11,K39='Tabla Impacto'!$D$11),"Leve",IF(OR(K39='Tabla Impacto'!$C$12,K39='Tabla Impacto'!$D$12),"Menor",IF(OR(K39='Tabla Impacto'!$C$13,K39='Tabla Impacto'!$D$13),"Moderado",IF(OR(K39='Tabla Impacto'!$C$14,K39='Tabla Impacto'!$D$14),"Mayor",IF(OR(K39='Tabla Impacto'!$C$15,K39='Tabla Impacto'!$D$15),"Catastrófico","")))))</f>
        <v/>
      </c>
      <c r="M39" s="238" t="str">
        <f ca="1">IF(L39="","",IF(L39="Leve",0.2,IF(L39="Menor",0.4,IF(L39="Moderado",0.6,IF(L39="Mayor",0.8,IF(L39="Catastrófico",1,))))))</f>
        <v/>
      </c>
      <c r="N39" s="269"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38">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9" t="str">
        <f>+X39</f>
        <v/>
      </c>
      <c r="AA39" s="128" t="str">
        <f>IFERROR(IF(AB39="","",IF(AB39&lt;=0.2,"Leve",IF(AB39&lt;=0.4,"Menor",IF(AB39&lt;=0.6,"Moderado",IF(AB39&lt;=0.8,"Mayor","Catastrófico"))))),"")</f>
        <v/>
      </c>
      <c r="AB39" s="137" t="str">
        <f>IFERROR(IF(Q39="Impacto",(M39-(+M39*T39)),IF(Q39="Probabilidad",M39,"")),"")</f>
        <v/>
      </c>
      <c r="AC39" s="130"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1"/>
      <c r="AE39" s="132"/>
      <c r="AF39" s="133"/>
      <c r="AG39" s="134"/>
      <c r="AH39" s="134"/>
      <c r="AI39" s="132"/>
      <c r="AJ39" s="133"/>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120" hidden="1" customHeight="1" x14ac:dyDescent="0.3">
      <c r="A40" s="273"/>
      <c r="B40" s="275"/>
      <c r="C40" s="275"/>
      <c r="D40" s="275"/>
      <c r="E40" s="277"/>
      <c r="F40" s="275"/>
      <c r="G40" s="279"/>
      <c r="H40" s="281"/>
      <c r="I40" s="239"/>
      <c r="J40" s="284"/>
      <c r="K40" s="239">
        <f t="shared" ref="K40:K44" ca="1" si="39">IF(NOT(ISERROR(MATCH(J40,_xlfn.ANCHORARRAY(E51),0))),I53&amp;"Por favor no seleccionar los criterios de impacto",J40)</f>
        <v>0</v>
      </c>
      <c r="L40" s="281"/>
      <c r="M40" s="239"/>
      <c r="N40" s="270"/>
      <c r="O40" s="138">
        <v>2</v>
      </c>
      <c r="P40" s="123"/>
      <c r="Q40" s="124" t="str">
        <f>IF(OR(R40="Preventivo",R40="Detectivo"),"Probabilidad",IF(R40="Correctivo","Impacto",""))</f>
        <v/>
      </c>
      <c r="R40" s="125"/>
      <c r="S40" s="125"/>
      <c r="T40" s="126" t="str">
        <f t="shared" ref="T40:T44" si="40">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1"/>
        <v/>
      </c>
      <c r="Z40" s="129" t="str">
        <f t="shared" ref="Z40:Z44" si="41">+X40</f>
        <v/>
      </c>
      <c r="AA40" s="128" t="str">
        <f t="shared" si="3"/>
        <v/>
      </c>
      <c r="AB40" s="137" t="str">
        <f>IFERROR(IF(AND(Q39="Impacto",Q40="Impacto"),(AB39-(+AB39*T40)),IF(Q40="Impacto",(M39-(+M39*T40)),IF(Q40="Probabilidad",AB39,""))),"")</f>
        <v/>
      </c>
      <c r="AC40" s="130" t="str">
        <f t="shared" ref="AC40:AC41" si="4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3"/>
      <c r="AG40" s="134"/>
      <c r="AH40" s="134"/>
      <c r="AI40" s="132"/>
      <c r="AJ40" s="133"/>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103.5" hidden="1" customHeight="1" x14ac:dyDescent="0.3">
      <c r="A41" s="273"/>
      <c r="B41" s="275"/>
      <c r="C41" s="275"/>
      <c r="D41" s="275"/>
      <c r="E41" s="277"/>
      <c r="F41" s="275"/>
      <c r="G41" s="279"/>
      <c r="H41" s="281"/>
      <c r="I41" s="239"/>
      <c r="J41" s="284"/>
      <c r="K41" s="239">
        <f t="shared" ca="1" si="39"/>
        <v>0</v>
      </c>
      <c r="L41" s="281"/>
      <c r="M41" s="239"/>
      <c r="N41" s="270"/>
      <c r="O41" s="138">
        <v>3</v>
      </c>
      <c r="P41" s="135"/>
      <c r="Q41" s="124" t="str">
        <f>IF(OR(R41="Preventivo",R41="Detectivo"),"Probabilidad",IF(R41="Correctivo","Impacto",""))</f>
        <v/>
      </c>
      <c r="R41" s="125"/>
      <c r="S41" s="125"/>
      <c r="T41" s="126" t="str">
        <f t="shared" si="40"/>
        <v/>
      </c>
      <c r="U41" s="125"/>
      <c r="V41" s="125"/>
      <c r="W41" s="125"/>
      <c r="X41" s="127" t="str">
        <f>IFERROR(IF(AND(Q40="Probabilidad",Q41="Probabilidad"),(Z40-(+Z40*T41)),IF(AND(Q40="Impacto",Q41="Probabilidad"),(Z39-(+Z39*T41)),IF(Q41="Impacto",Z40,""))),"")</f>
        <v/>
      </c>
      <c r="Y41" s="128" t="str">
        <f t="shared" si="1"/>
        <v/>
      </c>
      <c r="Z41" s="129" t="str">
        <f t="shared" si="41"/>
        <v/>
      </c>
      <c r="AA41" s="128" t="str">
        <f t="shared" si="3"/>
        <v/>
      </c>
      <c r="AB41" s="137" t="str">
        <f>IFERROR(IF(AND(Q40="Impacto",Q41="Impacto"),(AB40-(+AB40*T41)),IF(AND(Q40="Probabilidad",Q41="Impacto"),(AB39-(+AB39*T41)),IF(Q41="Probabilidad",AB40,""))),"")</f>
        <v/>
      </c>
      <c r="AC41" s="130" t="str">
        <f t="shared" si="42"/>
        <v/>
      </c>
      <c r="AD41" s="131"/>
      <c r="AE41" s="132"/>
      <c r="AF41" s="133"/>
      <c r="AG41" s="134"/>
      <c r="AH41" s="134"/>
      <c r="AI41" s="132"/>
      <c r="AJ41" s="133"/>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51.5" hidden="1" customHeight="1" x14ac:dyDescent="0.3">
      <c r="A42" s="273"/>
      <c r="B42" s="275"/>
      <c r="C42" s="275"/>
      <c r="D42" s="275"/>
      <c r="E42" s="277"/>
      <c r="F42" s="275"/>
      <c r="G42" s="279"/>
      <c r="H42" s="281"/>
      <c r="I42" s="239"/>
      <c r="J42" s="284"/>
      <c r="K42" s="239">
        <f t="shared" ca="1" si="39"/>
        <v>0</v>
      </c>
      <c r="L42" s="281"/>
      <c r="M42" s="239"/>
      <c r="N42" s="270"/>
      <c r="O42" s="138">
        <v>4</v>
      </c>
      <c r="P42" s="123"/>
      <c r="Q42" s="124" t="str">
        <f t="shared" ref="Q42:Q44" si="43">IF(OR(R42="Preventivo",R42="Detectivo"),"Probabilidad",IF(R42="Correctivo","Impacto",""))</f>
        <v/>
      </c>
      <c r="R42" s="125"/>
      <c r="S42" s="125"/>
      <c r="T42" s="126" t="str">
        <f t="shared" si="40"/>
        <v/>
      </c>
      <c r="U42" s="125"/>
      <c r="V42" s="125"/>
      <c r="W42" s="125"/>
      <c r="X42" s="127" t="str">
        <f t="shared" ref="X42:X44" si="44">IFERROR(IF(AND(Q41="Probabilidad",Q42="Probabilidad"),(Z41-(+Z41*T42)),IF(AND(Q41="Impacto",Q42="Probabilidad"),(Z40-(+Z40*T42)),IF(Q42="Impacto",Z41,""))),"")</f>
        <v/>
      </c>
      <c r="Y42" s="128" t="str">
        <f t="shared" si="1"/>
        <v/>
      </c>
      <c r="Z42" s="129" t="str">
        <f t="shared" si="41"/>
        <v/>
      </c>
      <c r="AA42" s="128" t="str">
        <f t="shared" si="3"/>
        <v/>
      </c>
      <c r="AB42" s="137" t="str">
        <f t="shared" ref="AB42:AB44" si="45">IFERROR(IF(AND(Q41="Impacto",Q42="Impacto"),(AB41-(+AB41*T42)),IF(AND(Q41="Probabilidad",Q42="Impacto"),(AB40-(+AB40*T42)),IF(Q42="Probabilidad",AB41,""))),"")</f>
        <v/>
      </c>
      <c r="AC42" s="13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1"/>
      <c r="AE42" s="132"/>
      <c r="AF42" s="133"/>
      <c r="AG42" s="134"/>
      <c r="AH42" s="134"/>
      <c r="AI42" s="132"/>
      <c r="AJ42" s="133"/>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51.5" hidden="1" customHeight="1" x14ac:dyDescent="0.3">
      <c r="A43" s="273"/>
      <c r="B43" s="275"/>
      <c r="C43" s="275"/>
      <c r="D43" s="275"/>
      <c r="E43" s="277"/>
      <c r="F43" s="275"/>
      <c r="G43" s="279"/>
      <c r="H43" s="281"/>
      <c r="I43" s="239"/>
      <c r="J43" s="284"/>
      <c r="K43" s="239">
        <f t="shared" ca="1" si="39"/>
        <v>0</v>
      </c>
      <c r="L43" s="281"/>
      <c r="M43" s="239"/>
      <c r="N43" s="270"/>
      <c r="O43" s="138">
        <v>5</v>
      </c>
      <c r="P43" s="123"/>
      <c r="Q43" s="124" t="str">
        <f t="shared" si="43"/>
        <v/>
      </c>
      <c r="R43" s="125"/>
      <c r="S43" s="125"/>
      <c r="T43" s="126" t="str">
        <f t="shared" si="40"/>
        <v/>
      </c>
      <c r="U43" s="125"/>
      <c r="V43" s="125"/>
      <c r="W43" s="125"/>
      <c r="X43" s="127" t="str">
        <f t="shared" si="44"/>
        <v/>
      </c>
      <c r="Y43" s="128" t="str">
        <f t="shared" si="1"/>
        <v/>
      </c>
      <c r="Z43" s="129" t="str">
        <f t="shared" si="41"/>
        <v/>
      </c>
      <c r="AA43" s="128" t="str">
        <f t="shared" si="3"/>
        <v/>
      </c>
      <c r="AB43" s="137" t="str">
        <f t="shared" si="45"/>
        <v/>
      </c>
      <c r="AC43" s="130" t="str">
        <f t="shared" ref="AC43" si="4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1"/>
      <c r="AE43" s="132"/>
      <c r="AF43" s="133"/>
      <c r="AG43" s="134"/>
      <c r="AH43" s="134"/>
      <c r="AI43" s="132"/>
      <c r="AJ43" s="133"/>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51.5" hidden="1" customHeight="1" x14ac:dyDescent="0.3">
      <c r="A44" s="274"/>
      <c r="B44" s="213"/>
      <c r="C44" s="213"/>
      <c r="D44" s="213"/>
      <c r="E44" s="278"/>
      <c r="F44" s="213"/>
      <c r="G44" s="215"/>
      <c r="H44" s="282"/>
      <c r="I44" s="240"/>
      <c r="J44" s="285"/>
      <c r="K44" s="240">
        <f t="shared" ca="1" si="39"/>
        <v>0</v>
      </c>
      <c r="L44" s="282"/>
      <c r="M44" s="240"/>
      <c r="N44" s="271"/>
      <c r="O44" s="138">
        <v>6</v>
      </c>
      <c r="P44" s="123"/>
      <c r="Q44" s="124" t="str">
        <f t="shared" si="43"/>
        <v/>
      </c>
      <c r="R44" s="125"/>
      <c r="S44" s="125"/>
      <c r="T44" s="126" t="str">
        <f t="shared" si="40"/>
        <v/>
      </c>
      <c r="U44" s="125"/>
      <c r="V44" s="125"/>
      <c r="W44" s="125"/>
      <c r="X44" s="127" t="str">
        <f t="shared" si="44"/>
        <v/>
      </c>
      <c r="Y44" s="128" t="str">
        <f t="shared" si="1"/>
        <v/>
      </c>
      <c r="Z44" s="129" t="str">
        <f t="shared" si="41"/>
        <v/>
      </c>
      <c r="AA44" s="128" t="str">
        <f>IFERROR(IF(AB44="","",IF(AB44&lt;=0.2,"Leve",IF(AB44&lt;=0.4,"Menor",IF(AB44&lt;=0.6,"Moderado",IF(AB44&lt;=0.8,"Mayor","Catastrófico"))))),"")</f>
        <v/>
      </c>
      <c r="AB44" s="137" t="str">
        <f t="shared" si="45"/>
        <v/>
      </c>
      <c r="AC44" s="130"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3"/>
      <c r="AG44" s="134"/>
      <c r="AH44" s="134"/>
      <c r="AI44" s="132"/>
      <c r="AJ44" s="133"/>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51.5" hidden="1" customHeight="1" x14ac:dyDescent="0.3">
      <c r="A45" s="272">
        <v>7</v>
      </c>
      <c r="B45" s="212"/>
      <c r="C45" s="212"/>
      <c r="D45" s="212"/>
      <c r="E45" s="276"/>
      <c r="F45" s="212"/>
      <c r="G45" s="214"/>
      <c r="H45" s="280" t="str">
        <f>IF(G45&lt;=0,"",IF(G45&lt;=2,"Muy Baja",IF(G45&lt;=24,"Baja",IF(G45&lt;=500,"Media",IF(G45&lt;=5000,"Alta","Muy Alta")))))</f>
        <v/>
      </c>
      <c r="I45" s="238" t="str">
        <f>IF(H45="","",IF(H45="Muy Baja",0.2,IF(H45="Baja",0.4,IF(H45="Media",0.6,IF(H45="Alta",0.8,IF(H45="Muy Alta",1,))))))</f>
        <v/>
      </c>
      <c r="J45" s="283"/>
      <c r="K45" s="238">
        <f ca="1">IF(NOT(ISERROR(MATCH(J45,'Tabla Impacto'!$B$221:$B$223,0))),'Tabla Impacto'!$F$223&amp;"Por favor no seleccionar los criterios de impacto(Afectación Económica o presupuestal y Pérdida Reputacional)",J45)</f>
        <v>0</v>
      </c>
      <c r="L45" s="280" t="str">
        <f ca="1">IF(OR(K45='Tabla Impacto'!$C$11,K45='Tabla Impacto'!$D$11),"Leve",IF(OR(K45='Tabla Impacto'!$C$12,K45='Tabla Impacto'!$D$12),"Menor",IF(OR(K45='Tabla Impacto'!$C$13,K45='Tabla Impacto'!$D$13),"Moderado",IF(OR(K45='Tabla Impacto'!$C$14,K45='Tabla Impacto'!$D$14),"Mayor",IF(OR(K45='Tabla Impacto'!$C$15,K45='Tabla Impacto'!$D$15),"Catastrófico","")))))</f>
        <v/>
      </c>
      <c r="M45" s="238" t="str">
        <f ca="1">IF(L45="","",IF(L45="Leve",0.2,IF(L45="Menor",0.4,IF(L45="Moderado",0.6,IF(L45="Mayor",0.8,IF(L45="Catastrófico",1,))))))</f>
        <v/>
      </c>
      <c r="N45" s="269"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38">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9" t="str">
        <f>+X45</f>
        <v/>
      </c>
      <c r="AA45" s="128" t="str">
        <f>IFERROR(IF(AB45="","",IF(AB45&lt;=0.2,"Leve",IF(AB45&lt;=0.4,"Menor",IF(AB45&lt;=0.6,"Moderado",IF(AB45&lt;=0.8,"Mayor","Catastrófico"))))),"")</f>
        <v/>
      </c>
      <c r="AB45" s="137" t="str">
        <f>IFERROR(IF(Q45="Impacto",(M45-(+M45*T45)),IF(Q45="Probabilidad",M45,"")),"")</f>
        <v/>
      </c>
      <c r="AC45" s="13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1"/>
      <c r="AE45" s="132"/>
      <c r="AF45" s="133"/>
      <c r="AG45" s="134"/>
      <c r="AH45" s="134"/>
      <c r="AI45" s="132"/>
      <c r="AJ45" s="133"/>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135" hidden="1" customHeight="1" x14ac:dyDescent="0.3">
      <c r="A46" s="273"/>
      <c r="B46" s="275"/>
      <c r="C46" s="275"/>
      <c r="D46" s="275"/>
      <c r="E46" s="277"/>
      <c r="F46" s="275"/>
      <c r="G46" s="279"/>
      <c r="H46" s="281"/>
      <c r="I46" s="239"/>
      <c r="J46" s="284"/>
      <c r="K46" s="239">
        <f t="shared" ref="K46:K50" ca="1" si="47">IF(NOT(ISERROR(MATCH(J46,_xlfn.ANCHORARRAY(E57),0))),I59&amp;"Por favor no seleccionar los criterios de impacto",J46)</f>
        <v>0</v>
      </c>
      <c r="L46" s="281"/>
      <c r="M46" s="239"/>
      <c r="N46" s="270"/>
      <c r="O46" s="138">
        <v>2</v>
      </c>
      <c r="P46" s="123"/>
      <c r="Q46" s="124" t="str">
        <f>IF(OR(R46="Preventivo",R46="Detectivo"),"Probabilidad",IF(R46="Correctivo","Impacto",""))</f>
        <v/>
      </c>
      <c r="R46" s="125"/>
      <c r="S46" s="125"/>
      <c r="T46" s="126" t="str">
        <f t="shared" ref="T46:T50" si="48">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1"/>
        <v/>
      </c>
      <c r="Z46" s="129" t="str">
        <f t="shared" ref="Z46:Z50" si="49">+X46</f>
        <v/>
      </c>
      <c r="AA46" s="128" t="str">
        <f t="shared" si="3"/>
        <v/>
      </c>
      <c r="AB46" s="137" t="str">
        <f>IFERROR(IF(AND(Q45="Impacto",Q46="Impacto"),(AB45-(+AB45*T46)),IF(Q46="Impacto",(M45-(+M45*T46)),IF(Q46="Probabilidad",AB45,""))),"")</f>
        <v/>
      </c>
      <c r="AC46" s="130" t="str">
        <f t="shared" ref="AC46:AC47" si="50">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3"/>
      <c r="AG46" s="134"/>
      <c r="AH46" s="134"/>
      <c r="AI46" s="132"/>
      <c r="AJ46" s="133"/>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151.5" hidden="1" customHeight="1" x14ac:dyDescent="0.3">
      <c r="A47" s="273"/>
      <c r="B47" s="275"/>
      <c r="C47" s="275"/>
      <c r="D47" s="275"/>
      <c r="E47" s="277"/>
      <c r="F47" s="275"/>
      <c r="G47" s="279"/>
      <c r="H47" s="281"/>
      <c r="I47" s="239"/>
      <c r="J47" s="284"/>
      <c r="K47" s="239">
        <f t="shared" ca="1" si="47"/>
        <v>0</v>
      </c>
      <c r="L47" s="281"/>
      <c r="M47" s="239"/>
      <c r="N47" s="270"/>
      <c r="O47" s="138">
        <v>3</v>
      </c>
      <c r="P47" s="135"/>
      <c r="Q47" s="124" t="str">
        <f>IF(OR(R47="Preventivo",R47="Detectivo"),"Probabilidad",IF(R47="Correctivo","Impacto",""))</f>
        <v/>
      </c>
      <c r="R47" s="125"/>
      <c r="S47" s="125"/>
      <c r="T47" s="126" t="str">
        <f t="shared" si="48"/>
        <v/>
      </c>
      <c r="U47" s="125"/>
      <c r="V47" s="125"/>
      <c r="W47" s="125"/>
      <c r="X47" s="127" t="str">
        <f>IFERROR(IF(AND(Q46="Probabilidad",Q47="Probabilidad"),(Z46-(+Z46*T47)),IF(AND(Q46="Impacto",Q47="Probabilidad"),(Z45-(+Z45*T47)),IF(Q47="Impacto",Z46,""))),"")</f>
        <v/>
      </c>
      <c r="Y47" s="128" t="str">
        <f t="shared" si="1"/>
        <v/>
      </c>
      <c r="Z47" s="129" t="str">
        <f t="shared" si="49"/>
        <v/>
      </c>
      <c r="AA47" s="128" t="str">
        <f t="shared" si="3"/>
        <v/>
      </c>
      <c r="AB47" s="137" t="str">
        <f>IFERROR(IF(AND(Q46="Impacto",Q47="Impacto"),(AB46-(+AB46*T47)),IF(AND(Q46="Probabilidad",Q47="Impacto"),(AB45-(+AB45*T47)),IF(Q47="Probabilidad",AB46,""))),"")</f>
        <v/>
      </c>
      <c r="AC47" s="130" t="str">
        <f t="shared" si="50"/>
        <v/>
      </c>
      <c r="AD47" s="131"/>
      <c r="AE47" s="132"/>
      <c r="AF47" s="133"/>
      <c r="AG47" s="134"/>
      <c r="AH47" s="134"/>
      <c r="AI47" s="132"/>
      <c r="AJ47" s="133"/>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51.5" hidden="1" customHeight="1" x14ac:dyDescent="0.3">
      <c r="A48" s="273"/>
      <c r="B48" s="275"/>
      <c r="C48" s="275"/>
      <c r="D48" s="275"/>
      <c r="E48" s="277"/>
      <c r="F48" s="275"/>
      <c r="G48" s="279"/>
      <c r="H48" s="281"/>
      <c r="I48" s="239"/>
      <c r="J48" s="284"/>
      <c r="K48" s="239">
        <f t="shared" ca="1" si="47"/>
        <v>0</v>
      </c>
      <c r="L48" s="281"/>
      <c r="M48" s="239"/>
      <c r="N48" s="270"/>
      <c r="O48" s="138">
        <v>4</v>
      </c>
      <c r="P48" s="123"/>
      <c r="Q48" s="124" t="str">
        <f t="shared" ref="Q48:Q50" si="51">IF(OR(R48="Preventivo",R48="Detectivo"),"Probabilidad",IF(R48="Correctivo","Impacto",""))</f>
        <v/>
      </c>
      <c r="R48" s="125"/>
      <c r="S48" s="125"/>
      <c r="T48" s="126" t="str">
        <f t="shared" si="48"/>
        <v/>
      </c>
      <c r="U48" s="125"/>
      <c r="V48" s="125"/>
      <c r="W48" s="125"/>
      <c r="X48" s="127" t="str">
        <f t="shared" ref="X48:X50" si="52">IFERROR(IF(AND(Q47="Probabilidad",Q48="Probabilidad"),(Z47-(+Z47*T48)),IF(AND(Q47="Impacto",Q48="Probabilidad"),(Z46-(+Z46*T48)),IF(Q48="Impacto",Z47,""))),"")</f>
        <v/>
      </c>
      <c r="Y48" s="128" t="str">
        <f t="shared" si="1"/>
        <v/>
      </c>
      <c r="Z48" s="129" t="str">
        <f t="shared" si="49"/>
        <v/>
      </c>
      <c r="AA48" s="128" t="str">
        <f t="shared" si="3"/>
        <v/>
      </c>
      <c r="AB48" s="137" t="str">
        <f t="shared" ref="AB48:AB50" si="53">IFERROR(IF(AND(Q47="Impacto",Q48="Impacto"),(AB47-(+AB47*T48)),IF(AND(Q47="Probabilidad",Q48="Impacto"),(AB46-(+AB46*T48)),IF(Q48="Probabilidad",AB47,""))),"")</f>
        <v/>
      </c>
      <c r="AC48" s="130"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1"/>
      <c r="AE48" s="132"/>
      <c r="AF48" s="133"/>
      <c r="AG48" s="134"/>
      <c r="AH48" s="134"/>
      <c r="AI48" s="132"/>
      <c r="AJ48" s="133"/>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51.5" hidden="1" customHeight="1" x14ac:dyDescent="0.3">
      <c r="A49" s="273"/>
      <c r="B49" s="275"/>
      <c r="C49" s="275"/>
      <c r="D49" s="275"/>
      <c r="E49" s="277"/>
      <c r="F49" s="275"/>
      <c r="G49" s="279"/>
      <c r="H49" s="281"/>
      <c r="I49" s="239"/>
      <c r="J49" s="284"/>
      <c r="K49" s="239">
        <f t="shared" ca="1" si="47"/>
        <v>0</v>
      </c>
      <c r="L49" s="281"/>
      <c r="M49" s="239"/>
      <c r="N49" s="270"/>
      <c r="O49" s="138">
        <v>5</v>
      </c>
      <c r="P49" s="123"/>
      <c r="Q49" s="124" t="str">
        <f t="shared" si="51"/>
        <v/>
      </c>
      <c r="R49" s="125"/>
      <c r="S49" s="125"/>
      <c r="T49" s="126" t="str">
        <f t="shared" si="48"/>
        <v/>
      </c>
      <c r="U49" s="125"/>
      <c r="V49" s="125"/>
      <c r="W49" s="125"/>
      <c r="X49" s="127" t="str">
        <f t="shared" si="52"/>
        <v/>
      </c>
      <c r="Y49" s="128" t="str">
        <f t="shared" si="1"/>
        <v/>
      </c>
      <c r="Z49" s="129" t="str">
        <f t="shared" si="49"/>
        <v/>
      </c>
      <c r="AA49" s="128" t="str">
        <f t="shared" si="3"/>
        <v/>
      </c>
      <c r="AB49" s="137" t="str">
        <f t="shared" si="53"/>
        <v/>
      </c>
      <c r="AC49" s="130" t="str">
        <f t="shared" ref="AC49:AC50" si="54">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3"/>
      <c r="AG49" s="134"/>
      <c r="AH49" s="134"/>
      <c r="AI49" s="132"/>
      <c r="AJ49" s="133"/>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51.5" hidden="1" customHeight="1" x14ac:dyDescent="0.3">
      <c r="A50" s="274"/>
      <c r="B50" s="213"/>
      <c r="C50" s="213"/>
      <c r="D50" s="213"/>
      <c r="E50" s="278"/>
      <c r="F50" s="213"/>
      <c r="G50" s="215"/>
      <c r="H50" s="282"/>
      <c r="I50" s="240"/>
      <c r="J50" s="285"/>
      <c r="K50" s="240">
        <f t="shared" ca="1" si="47"/>
        <v>0</v>
      </c>
      <c r="L50" s="282"/>
      <c r="M50" s="240"/>
      <c r="N50" s="271"/>
      <c r="O50" s="138">
        <v>6</v>
      </c>
      <c r="P50" s="123"/>
      <c r="Q50" s="124" t="str">
        <f t="shared" si="51"/>
        <v/>
      </c>
      <c r="R50" s="125"/>
      <c r="S50" s="125"/>
      <c r="T50" s="126" t="str">
        <f t="shared" si="48"/>
        <v/>
      </c>
      <c r="U50" s="125"/>
      <c r="V50" s="125"/>
      <c r="W50" s="125"/>
      <c r="X50" s="127" t="str">
        <f t="shared" si="52"/>
        <v/>
      </c>
      <c r="Y50" s="128" t="str">
        <f t="shared" si="1"/>
        <v/>
      </c>
      <c r="Z50" s="129" t="str">
        <f t="shared" si="49"/>
        <v/>
      </c>
      <c r="AA50" s="128" t="str">
        <f t="shared" si="3"/>
        <v/>
      </c>
      <c r="AB50" s="137" t="str">
        <f t="shared" si="53"/>
        <v/>
      </c>
      <c r="AC50" s="130" t="str">
        <f t="shared" si="54"/>
        <v/>
      </c>
      <c r="AD50" s="131"/>
      <c r="AE50" s="132"/>
      <c r="AF50" s="133"/>
      <c r="AG50" s="134"/>
      <c r="AH50" s="134"/>
      <c r="AI50" s="132"/>
      <c r="AJ50" s="133"/>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51.5" hidden="1" customHeight="1" x14ac:dyDescent="0.3">
      <c r="A51" s="272">
        <v>8</v>
      </c>
      <c r="B51" s="212"/>
      <c r="C51" s="212"/>
      <c r="D51" s="212"/>
      <c r="E51" s="276"/>
      <c r="F51" s="212"/>
      <c r="G51" s="214"/>
      <c r="H51" s="280" t="str">
        <f>IF(G51&lt;=0,"",IF(G51&lt;=2,"Muy Baja",IF(G51&lt;=24,"Baja",IF(G51&lt;=500,"Media",IF(G51&lt;=5000,"Alta","Muy Alta")))))</f>
        <v/>
      </c>
      <c r="I51" s="238" t="str">
        <f>IF(H51="","",IF(H51="Muy Baja",0.2,IF(H51="Baja",0.4,IF(H51="Media",0.6,IF(H51="Alta",0.8,IF(H51="Muy Alta",1,))))))</f>
        <v/>
      </c>
      <c r="J51" s="283"/>
      <c r="K51" s="238">
        <f ca="1">IF(NOT(ISERROR(MATCH(J51,'Tabla Impacto'!$B$221:$B$223,0))),'Tabla Impacto'!$F$223&amp;"Por favor no seleccionar los criterios de impacto(Afectación Económica o presupuestal y Pérdida Reputacional)",J51)</f>
        <v>0</v>
      </c>
      <c r="L51" s="280" t="str">
        <f ca="1">IF(OR(K51='Tabla Impacto'!$C$11,K51='Tabla Impacto'!$D$11),"Leve",IF(OR(K51='Tabla Impacto'!$C$12,K51='Tabla Impacto'!$D$12),"Menor",IF(OR(K51='Tabla Impacto'!$C$13,K51='Tabla Impacto'!$D$13),"Moderado",IF(OR(K51='Tabla Impacto'!$C$14,K51='Tabla Impacto'!$D$14),"Mayor",IF(OR(K51='Tabla Impacto'!$C$15,K51='Tabla Impacto'!$D$15),"Catastrófico","")))))</f>
        <v/>
      </c>
      <c r="M51" s="238" t="str">
        <f ca="1">IF(L51="","",IF(L51="Leve",0.2,IF(L51="Menor",0.4,IF(L51="Moderado",0.6,IF(L51="Mayor",0.8,IF(L51="Catastrófico",1,))))))</f>
        <v/>
      </c>
      <c r="N51" s="269"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38">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9" t="str">
        <f>+X51</f>
        <v/>
      </c>
      <c r="AA51" s="128" t="str">
        <f>IFERROR(IF(AB51="","",IF(AB51&lt;=0.2,"Leve",IF(AB51&lt;=0.4,"Menor",IF(AB51&lt;=0.6,"Moderado",IF(AB51&lt;=0.8,"Mayor","Catastrófico"))))),"")</f>
        <v/>
      </c>
      <c r="AB51" s="137" t="str">
        <f>IFERROR(IF(Q51="Impacto",(M51-(+M51*T51)),IF(Q51="Probabilidad",M51,"")),"")</f>
        <v/>
      </c>
      <c r="AC51" s="130"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1"/>
      <c r="AE51" s="132"/>
      <c r="AF51" s="133"/>
      <c r="AG51" s="134"/>
      <c r="AH51" s="134"/>
      <c r="AI51" s="132"/>
      <c r="AJ51" s="133"/>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78" hidden="1" customHeight="1" x14ac:dyDescent="0.3">
      <c r="A52" s="273"/>
      <c r="B52" s="275"/>
      <c r="C52" s="275"/>
      <c r="D52" s="275"/>
      <c r="E52" s="277"/>
      <c r="F52" s="275"/>
      <c r="G52" s="279"/>
      <c r="H52" s="281"/>
      <c r="I52" s="239"/>
      <c r="J52" s="284"/>
      <c r="K52" s="239">
        <f ca="1">IF(NOT(ISERROR(MATCH(J52,_xlfn.ANCHORARRAY(E63),0))),I65&amp;"Por favor no seleccionar los criterios de impacto",J52)</f>
        <v>0</v>
      </c>
      <c r="L52" s="281"/>
      <c r="M52" s="239"/>
      <c r="N52" s="270"/>
      <c r="O52" s="138">
        <v>2</v>
      </c>
      <c r="P52" s="123"/>
      <c r="Q52" s="124" t="str">
        <f>IF(OR(R52="Preventivo",R52="Detectivo"),"Probabilidad",IF(R52="Correctivo","Impacto",""))</f>
        <v/>
      </c>
      <c r="R52" s="125"/>
      <c r="S52" s="125"/>
      <c r="T52" s="126" t="str">
        <f t="shared" ref="T52:T56" si="55">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1"/>
        <v/>
      </c>
      <c r="Z52" s="129" t="str">
        <f t="shared" ref="Z52:Z56" si="56">+X52</f>
        <v/>
      </c>
      <c r="AA52" s="128" t="str">
        <f t="shared" si="3"/>
        <v/>
      </c>
      <c r="AB52" s="137" t="str">
        <f>IFERROR(IF(AND(Q51="Impacto",Q52="Impacto"),(AB51-(+AB51*T52)),IF(Q52="Impacto",(M51-(+M51*T52)),IF(Q52="Probabilidad",AB51,""))),"")</f>
        <v/>
      </c>
      <c r="AC52" s="130" t="str">
        <f t="shared" ref="AC52:AC53" si="57">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3"/>
      <c r="AG52" s="134"/>
      <c r="AH52" s="134"/>
      <c r="AI52" s="132"/>
      <c r="AJ52" s="133"/>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151.5" hidden="1" customHeight="1" x14ac:dyDescent="0.3">
      <c r="A53" s="273"/>
      <c r="B53" s="275"/>
      <c r="C53" s="275"/>
      <c r="D53" s="275"/>
      <c r="E53" s="277"/>
      <c r="F53" s="275"/>
      <c r="G53" s="279"/>
      <c r="H53" s="281"/>
      <c r="I53" s="239"/>
      <c r="J53" s="284"/>
      <c r="K53" s="239">
        <f ca="1">IF(NOT(ISERROR(MATCH(J53,_xlfn.ANCHORARRAY(E64),0))),I66&amp;"Por favor no seleccionar los criterios de impacto",J53)</f>
        <v>0</v>
      </c>
      <c r="L53" s="281"/>
      <c r="M53" s="239"/>
      <c r="N53" s="270"/>
      <c r="O53" s="138">
        <v>3</v>
      </c>
      <c r="P53" s="135"/>
      <c r="Q53" s="124" t="str">
        <f>IF(OR(R53="Preventivo",R53="Detectivo"),"Probabilidad",IF(R53="Correctivo","Impacto",""))</f>
        <v/>
      </c>
      <c r="R53" s="125"/>
      <c r="S53" s="125"/>
      <c r="T53" s="126" t="str">
        <f t="shared" si="55"/>
        <v/>
      </c>
      <c r="U53" s="125"/>
      <c r="V53" s="125"/>
      <c r="W53" s="125"/>
      <c r="X53" s="127" t="str">
        <f>IFERROR(IF(AND(Q52="Probabilidad",Q53="Probabilidad"),(Z52-(+Z52*T53)),IF(AND(Q52="Impacto",Q53="Probabilidad"),(Z51-(+Z51*T53)),IF(Q53="Impacto",Z52,""))),"")</f>
        <v/>
      </c>
      <c r="Y53" s="128" t="str">
        <f t="shared" si="1"/>
        <v/>
      </c>
      <c r="Z53" s="129" t="str">
        <f t="shared" si="56"/>
        <v/>
      </c>
      <c r="AA53" s="128" t="str">
        <f t="shared" si="3"/>
        <v/>
      </c>
      <c r="AB53" s="137" t="str">
        <f>IFERROR(IF(AND(Q52="Impacto",Q53="Impacto"),(AB52-(+AB52*T53)),IF(AND(Q52="Probabilidad",Q53="Impacto"),(AB51-(+AB51*T53)),IF(Q53="Probabilidad",AB52,""))),"")</f>
        <v/>
      </c>
      <c r="AC53" s="130" t="str">
        <f t="shared" si="57"/>
        <v/>
      </c>
      <c r="AD53" s="131"/>
      <c r="AE53" s="132"/>
      <c r="AF53" s="133"/>
      <c r="AG53" s="134"/>
      <c r="AH53" s="134"/>
      <c r="AI53" s="132"/>
      <c r="AJ53" s="133"/>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4.5" hidden="1" customHeight="1" x14ac:dyDescent="0.3">
      <c r="A54" s="273"/>
      <c r="B54" s="275"/>
      <c r="C54" s="275"/>
      <c r="D54" s="275"/>
      <c r="E54" s="277"/>
      <c r="F54" s="275"/>
      <c r="G54" s="279"/>
      <c r="H54" s="281"/>
      <c r="I54" s="239"/>
      <c r="J54" s="284"/>
      <c r="K54" s="239">
        <f ca="1">IF(NOT(ISERROR(MATCH(J54,_xlfn.ANCHORARRAY(E65),0))),I67&amp;"Por favor no seleccionar los criterios de impacto",J54)</f>
        <v>0</v>
      </c>
      <c r="L54" s="281"/>
      <c r="M54" s="239"/>
      <c r="N54" s="270"/>
      <c r="O54" s="138">
        <v>4</v>
      </c>
      <c r="P54" s="123"/>
      <c r="Q54" s="124" t="str">
        <f t="shared" ref="Q54:Q56" si="58">IF(OR(R54="Preventivo",R54="Detectivo"),"Probabilidad",IF(R54="Correctivo","Impacto",""))</f>
        <v/>
      </c>
      <c r="R54" s="125"/>
      <c r="S54" s="125"/>
      <c r="T54" s="126" t="str">
        <f t="shared" si="55"/>
        <v/>
      </c>
      <c r="U54" s="125"/>
      <c r="V54" s="125"/>
      <c r="W54" s="125"/>
      <c r="X54" s="127" t="str">
        <f t="shared" ref="X54:X56" si="59">IFERROR(IF(AND(Q53="Probabilidad",Q54="Probabilidad"),(Z53-(+Z53*T54)),IF(AND(Q53="Impacto",Q54="Probabilidad"),(Z52-(+Z52*T54)),IF(Q54="Impacto",Z53,""))),"")</f>
        <v/>
      </c>
      <c r="Y54" s="128" t="str">
        <f t="shared" si="1"/>
        <v/>
      </c>
      <c r="Z54" s="129" t="str">
        <f t="shared" si="56"/>
        <v/>
      </c>
      <c r="AA54" s="128" t="str">
        <f t="shared" si="3"/>
        <v/>
      </c>
      <c r="AB54" s="137" t="str">
        <f t="shared" ref="AB54:AB56" si="60">IFERROR(IF(AND(Q53="Impacto",Q54="Impacto"),(AB53-(+AB53*T54)),IF(AND(Q53="Probabilidad",Q54="Impacto"),(AB52-(+AB52*T54)),IF(Q54="Probabilidad",AB53,""))),"")</f>
        <v/>
      </c>
      <c r="AC54" s="130"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1"/>
      <c r="AE54" s="132"/>
      <c r="AF54" s="133"/>
      <c r="AG54" s="134"/>
      <c r="AH54" s="134"/>
      <c r="AI54" s="132"/>
      <c r="AJ54" s="133"/>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151.5" hidden="1" customHeight="1" x14ac:dyDescent="0.3">
      <c r="A55" s="273"/>
      <c r="B55" s="275"/>
      <c r="C55" s="275"/>
      <c r="D55" s="275"/>
      <c r="E55" s="277"/>
      <c r="F55" s="275"/>
      <c r="G55" s="279"/>
      <c r="H55" s="281"/>
      <c r="I55" s="239"/>
      <c r="J55" s="284"/>
      <c r="K55" s="239">
        <f ca="1">IF(NOT(ISERROR(MATCH(J55,_xlfn.ANCHORARRAY(E66),0))),I68&amp;"Por favor no seleccionar los criterios de impacto",J55)</f>
        <v>0</v>
      </c>
      <c r="L55" s="281"/>
      <c r="M55" s="239"/>
      <c r="N55" s="270"/>
      <c r="O55" s="138">
        <v>5</v>
      </c>
      <c r="P55" s="123"/>
      <c r="Q55" s="124" t="str">
        <f t="shared" si="58"/>
        <v/>
      </c>
      <c r="R55" s="125"/>
      <c r="S55" s="125"/>
      <c r="T55" s="126" t="str">
        <f t="shared" si="55"/>
        <v/>
      </c>
      <c r="U55" s="125"/>
      <c r="V55" s="125"/>
      <c r="W55" s="125"/>
      <c r="X55" s="127" t="str">
        <f t="shared" si="59"/>
        <v/>
      </c>
      <c r="Y55" s="128" t="str">
        <f t="shared" si="1"/>
        <v/>
      </c>
      <c r="Z55" s="129" t="str">
        <f t="shared" si="56"/>
        <v/>
      </c>
      <c r="AA55" s="128" t="str">
        <f t="shared" si="3"/>
        <v/>
      </c>
      <c r="AB55" s="137" t="str">
        <f t="shared" si="60"/>
        <v/>
      </c>
      <c r="AC55" s="130" t="str">
        <f t="shared" ref="AC55:AC56" si="61">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3"/>
      <c r="AG55" s="134"/>
      <c r="AH55" s="134"/>
      <c r="AI55" s="132"/>
      <c r="AJ55" s="133"/>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151.5" hidden="1" customHeight="1" x14ac:dyDescent="0.3">
      <c r="A56" s="274"/>
      <c r="B56" s="213"/>
      <c r="C56" s="213"/>
      <c r="D56" s="213"/>
      <c r="E56" s="278"/>
      <c r="F56" s="213"/>
      <c r="G56" s="215"/>
      <c r="H56" s="282"/>
      <c r="I56" s="240"/>
      <c r="J56" s="285"/>
      <c r="K56" s="240">
        <f ca="1">IF(NOT(ISERROR(MATCH(J56,_xlfn.ANCHORARRAY(E67),0))),#REF!&amp;"Por favor no seleccionar los criterios de impacto",J56)</f>
        <v>0</v>
      </c>
      <c r="L56" s="282"/>
      <c r="M56" s="240"/>
      <c r="N56" s="271"/>
      <c r="O56" s="138">
        <v>6</v>
      </c>
      <c r="P56" s="123"/>
      <c r="Q56" s="124" t="str">
        <f t="shared" si="58"/>
        <v/>
      </c>
      <c r="R56" s="125"/>
      <c r="S56" s="125"/>
      <c r="T56" s="126" t="str">
        <f t="shared" si="55"/>
        <v/>
      </c>
      <c r="U56" s="125"/>
      <c r="V56" s="125"/>
      <c r="W56" s="125"/>
      <c r="X56" s="127" t="str">
        <f t="shared" si="59"/>
        <v/>
      </c>
      <c r="Y56" s="128" t="str">
        <f t="shared" si="1"/>
        <v/>
      </c>
      <c r="Z56" s="129" t="str">
        <f t="shared" si="56"/>
        <v/>
      </c>
      <c r="AA56" s="128" t="str">
        <f t="shared" si="3"/>
        <v/>
      </c>
      <c r="AB56" s="137" t="str">
        <f t="shared" si="60"/>
        <v/>
      </c>
      <c r="AC56" s="130" t="str">
        <f t="shared" si="61"/>
        <v/>
      </c>
      <c r="AD56" s="131"/>
      <c r="AE56" s="132"/>
      <c r="AF56" s="133"/>
      <c r="AG56" s="134"/>
      <c r="AH56" s="134"/>
      <c r="AI56" s="132"/>
      <c r="AJ56" s="133"/>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151.5" hidden="1" customHeight="1" x14ac:dyDescent="0.3">
      <c r="A57" s="272">
        <v>9</v>
      </c>
      <c r="B57" s="212"/>
      <c r="C57" s="212"/>
      <c r="D57" s="212"/>
      <c r="E57" s="276"/>
      <c r="F57" s="212"/>
      <c r="G57" s="214"/>
      <c r="H57" s="280" t="str">
        <f>IF(G57&lt;=0,"",IF(G57&lt;=2,"Muy Baja",IF(G57&lt;=24,"Baja",IF(G57&lt;=500,"Media",IF(G57&lt;=5000,"Alta","Muy Alta")))))</f>
        <v/>
      </c>
      <c r="I57" s="238" t="str">
        <f>IF(H57="","",IF(H57="Muy Baja",0.2,IF(H57="Baja",0.4,IF(H57="Media",0.6,IF(H57="Alta",0.8,IF(H57="Muy Alta",1,))))))</f>
        <v/>
      </c>
      <c r="J57" s="283"/>
      <c r="K57" s="238">
        <f ca="1">IF(NOT(ISERROR(MATCH(J57,'Tabla Impacto'!$B$221:$B$223,0))),'Tabla Impacto'!$F$223&amp;"Por favor no seleccionar los criterios de impacto(Afectación Económica o presupuestal y Pérdida Reputacional)",J57)</f>
        <v>0</v>
      </c>
      <c r="L57" s="280" t="str">
        <f ca="1">IF(OR(K57='Tabla Impacto'!$C$11,K57='Tabla Impacto'!$D$11),"Leve",IF(OR(K57='Tabla Impacto'!$C$12,K57='Tabla Impacto'!$D$12),"Menor",IF(OR(K57='Tabla Impacto'!$C$13,K57='Tabla Impacto'!$D$13),"Moderado",IF(OR(K57='Tabla Impacto'!$C$14,K57='Tabla Impacto'!$D$14),"Mayor",IF(OR(K57='Tabla Impacto'!$C$15,K57='Tabla Impacto'!$D$15),"Catastrófico","")))))</f>
        <v/>
      </c>
      <c r="M57" s="238" t="str">
        <f ca="1">IF(L57="","",IF(L57="Leve",0.2,IF(L57="Menor",0.4,IF(L57="Moderado",0.6,IF(L57="Mayor",0.8,IF(L57="Catastrófico",1,))))))</f>
        <v/>
      </c>
      <c r="N57" s="269" t="str">
        <f ca="1">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38">
        <v>1</v>
      </c>
      <c r="P57" s="123"/>
      <c r="Q57" s="124" t="str">
        <f>IF(OR(R57="Preventivo",R57="Detectivo"),"Probabilidad",IF(R57="Correctivo","Impacto",""))</f>
        <v/>
      </c>
      <c r="R57" s="125"/>
      <c r="S57" s="125"/>
      <c r="T57" s="126" t="str">
        <f>IF(AND(R57="Preventivo",S57="Automático"),"50%",IF(AND(R57="Preventivo",S57="Manual"),"40%",IF(AND(R57="Detectivo",S57="Automático"),"40%",IF(AND(R57="Detectivo",S57="Manual"),"30%",IF(AND(R57="Correctivo",S57="Automático"),"35%",IF(AND(R57="Correctivo",S57="Manual"),"25%",""))))))</f>
        <v/>
      </c>
      <c r="U57" s="125"/>
      <c r="V57" s="125"/>
      <c r="W57" s="125"/>
      <c r="X57" s="127" t="str">
        <f>IFERROR(IF(Q57="Probabilidad",(I57-(+I57*T57)),IF(Q57="Impacto",I57,"")),"")</f>
        <v/>
      </c>
      <c r="Y57" s="128" t="str">
        <f>IFERROR(IF(X57="","",IF(X57&lt;=0.2,"Muy Baja",IF(X57&lt;=0.4,"Baja",IF(X57&lt;=0.6,"Media",IF(X57&lt;=0.8,"Alta","Muy Alta"))))),"")</f>
        <v/>
      </c>
      <c r="Z57" s="129" t="str">
        <f>+X57</f>
        <v/>
      </c>
      <c r="AA57" s="128" t="str">
        <f>IFERROR(IF(AB57="","",IF(AB57&lt;=0.2,"Leve",IF(AB57&lt;=0.4,"Menor",IF(AB57&lt;=0.6,"Moderado",IF(AB57&lt;=0.8,"Mayor","Catastrófico"))))),"")</f>
        <v/>
      </c>
      <c r="AB57" s="137" t="str">
        <f>IFERROR(IF(Q57="Impacto",(M57-(+M57*T57)),IF(Q57="Probabilidad",M57,"")),"")</f>
        <v/>
      </c>
      <c r="AC57" s="130"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1"/>
      <c r="AE57" s="132"/>
      <c r="AF57" s="133"/>
      <c r="AG57" s="134"/>
      <c r="AH57" s="134"/>
      <c r="AI57" s="132"/>
      <c r="AJ57" s="133"/>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151.5" hidden="1" customHeight="1" x14ac:dyDescent="0.3">
      <c r="A58" s="273"/>
      <c r="B58" s="275"/>
      <c r="C58" s="275"/>
      <c r="D58" s="275"/>
      <c r="E58" s="277"/>
      <c r="F58" s="275"/>
      <c r="G58" s="279"/>
      <c r="H58" s="281"/>
      <c r="I58" s="239"/>
      <c r="J58" s="284"/>
      <c r="K58" s="239">
        <f ca="1">IF(NOT(ISERROR(MATCH(J58,_xlfn.ANCHORARRAY(#REF!),0))),#REF!&amp;"Por favor no seleccionar los criterios de impacto",J58)</f>
        <v>0</v>
      </c>
      <c r="L58" s="281"/>
      <c r="M58" s="239"/>
      <c r="N58" s="270"/>
      <c r="O58" s="138">
        <v>2</v>
      </c>
      <c r="P58" s="123"/>
      <c r="Q58" s="124" t="str">
        <f>IF(OR(R58="Preventivo",R58="Detectivo"),"Probabilidad",IF(R58="Correctivo","Impacto",""))</f>
        <v/>
      </c>
      <c r="R58" s="125"/>
      <c r="S58" s="125"/>
      <c r="T58" s="126" t="str">
        <f t="shared" ref="T58:T62" si="62">IF(AND(R58="Preventivo",S58="Automático"),"50%",IF(AND(R58="Preventivo",S58="Manual"),"40%",IF(AND(R58="Detectivo",S58="Automático"),"40%",IF(AND(R58="Detectivo",S58="Manual"),"30%",IF(AND(R58="Correctivo",S58="Automático"),"35%",IF(AND(R58="Correctivo",S58="Manual"),"25%",""))))))</f>
        <v/>
      </c>
      <c r="U58" s="125"/>
      <c r="V58" s="125"/>
      <c r="W58" s="125"/>
      <c r="X58" s="127" t="str">
        <f>IFERROR(IF(AND(Q57="Probabilidad",Q58="Probabilidad"),(Z57-(+Z57*T58)),IF(Q58="Probabilidad",(I57-(+I57*T58)),IF(Q58="Impacto",Z57,""))),"")</f>
        <v/>
      </c>
      <c r="Y58" s="128" t="str">
        <f t="shared" si="1"/>
        <v/>
      </c>
      <c r="Z58" s="129" t="str">
        <f t="shared" ref="Z58:Z62" si="63">+X58</f>
        <v/>
      </c>
      <c r="AA58" s="128" t="str">
        <f t="shared" si="3"/>
        <v/>
      </c>
      <c r="AB58" s="137" t="str">
        <f>IFERROR(IF(AND(Q57="Impacto",Q58="Impacto"),(AB57-(+AB57*T58)),IF(Q58="Impacto",(M57-(+M57*T58)),IF(Q58="Probabilidad",AB57,""))),"")</f>
        <v/>
      </c>
      <c r="AC58" s="130" t="str">
        <f t="shared" ref="AC58:AC59" si="64">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3"/>
      <c r="AG58" s="134"/>
      <c r="AH58" s="134"/>
      <c r="AI58" s="132"/>
      <c r="AJ58" s="133"/>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81" hidden="1" customHeight="1" x14ac:dyDescent="0.3">
      <c r="A59" s="273"/>
      <c r="B59" s="275"/>
      <c r="C59" s="275"/>
      <c r="D59" s="275"/>
      <c r="E59" s="277"/>
      <c r="F59" s="275"/>
      <c r="G59" s="279"/>
      <c r="H59" s="281"/>
      <c r="I59" s="239"/>
      <c r="J59" s="284"/>
      <c r="K59" s="239">
        <f ca="1">IF(NOT(ISERROR(MATCH(J59,_xlfn.ANCHORARRAY(#REF!),0))),#REF!&amp;"Por favor no seleccionar los criterios de impacto",J59)</f>
        <v>0</v>
      </c>
      <c r="L59" s="281"/>
      <c r="M59" s="239"/>
      <c r="N59" s="270"/>
      <c r="O59" s="138">
        <v>3</v>
      </c>
      <c r="P59" s="135"/>
      <c r="Q59" s="124" t="str">
        <f>IF(OR(R59="Preventivo",R59="Detectivo"),"Probabilidad",IF(R59="Correctivo","Impacto",""))</f>
        <v/>
      </c>
      <c r="R59" s="125"/>
      <c r="S59" s="125"/>
      <c r="T59" s="126" t="str">
        <f t="shared" si="62"/>
        <v/>
      </c>
      <c r="U59" s="125"/>
      <c r="V59" s="125"/>
      <c r="W59" s="125"/>
      <c r="X59" s="127" t="str">
        <f>IFERROR(IF(AND(Q58="Probabilidad",Q59="Probabilidad"),(Z58-(+Z58*T59)),IF(AND(Q58="Impacto",Q59="Probabilidad"),(Z57-(+Z57*T59)),IF(Q59="Impacto",Z58,""))),"")</f>
        <v/>
      </c>
      <c r="Y59" s="128" t="str">
        <f t="shared" si="1"/>
        <v/>
      </c>
      <c r="Z59" s="129" t="str">
        <f t="shared" si="63"/>
        <v/>
      </c>
      <c r="AA59" s="128" t="str">
        <f t="shared" si="3"/>
        <v/>
      </c>
      <c r="AB59" s="137" t="str">
        <f>IFERROR(IF(AND(Q58="Impacto",Q59="Impacto"),(AB58-(+AB58*T59)),IF(AND(Q58="Probabilidad",Q59="Impacto"),(AB57-(+AB57*T59)),IF(Q59="Probabilidad",AB58,""))),"")</f>
        <v/>
      </c>
      <c r="AC59" s="130" t="str">
        <f t="shared" si="64"/>
        <v/>
      </c>
      <c r="AD59" s="131"/>
      <c r="AE59" s="132"/>
      <c r="AF59" s="133"/>
      <c r="AG59" s="134"/>
      <c r="AH59" s="134"/>
      <c r="AI59" s="132"/>
      <c r="AJ59" s="133"/>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151.5" hidden="1" customHeight="1" x14ac:dyDescent="0.3">
      <c r="A60" s="273"/>
      <c r="B60" s="275"/>
      <c r="C60" s="275"/>
      <c r="D60" s="275"/>
      <c r="E60" s="277"/>
      <c r="F60" s="275"/>
      <c r="G60" s="279"/>
      <c r="H60" s="281"/>
      <c r="I60" s="239"/>
      <c r="J60" s="284"/>
      <c r="K60" s="239">
        <f ca="1">IF(NOT(ISERROR(MATCH(J60,_xlfn.ANCHORARRAY(#REF!),0))),#REF!&amp;"Por favor no seleccionar los criterios de impacto",J60)</f>
        <v>0</v>
      </c>
      <c r="L60" s="281"/>
      <c r="M60" s="239"/>
      <c r="N60" s="270"/>
      <c r="O60" s="138">
        <v>4</v>
      </c>
      <c r="P60" s="123"/>
      <c r="Q60" s="124" t="str">
        <f t="shared" ref="Q60:Q62" si="65">IF(OR(R60="Preventivo",R60="Detectivo"),"Probabilidad",IF(R60="Correctivo","Impacto",""))</f>
        <v/>
      </c>
      <c r="R60" s="125"/>
      <c r="S60" s="125"/>
      <c r="T60" s="126" t="str">
        <f t="shared" si="62"/>
        <v/>
      </c>
      <c r="U60" s="125"/>
      <c r="V60" s="125"/>
      <c r="W60" s="125"/>
      <c r="X60" s="127" t="str">
        <f t="shared" ref="X60:X62" si="66">IFERROR(IF(AND(Q59="Probabilidad",Q60="Probabilidad"),(Z59-(+Z59*T60)),IF(AND(Q59="Impacto",Q60="Probabilidad"),(Z58-(+Z58*T60)),IF(Q60="Impacto",Z59,""))),"")</f>
        <v/>
      </c>
      <c r="Y60" s="128" t="str">
        <f t="shared" si="1"/>
        <v/>
      </c>
      <c r="Z60" s="129" t="str">
        <f t="shared" si="63"/>
        <v/>
      </c>
      <c r="AA60" s="128" t="str">
        <f t="shared" si="3"/>
        <v/>
      </c>
      <c r="AB60" s="137" t="str">
        <f t="shared" ref="AB60:AB62" si="67">IFERROR(IF(AND(Q59="Impacto",Q60="Impacto"),(AB59-(+AB59*T60)),IF(AND(Q59="Probabilidad",Q60="Impacto"),(AB58-(+AB58*T60)),IF(Q60="Probabilidad",AB59,""))),"")</f>
        <v/>
      </c>
      <c r="AC60" s="130"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31"/>
      <c r="AE60" s="132"/>
      <c r="AF60" s="133"/>
      <c r="AG60" s="134"/>
      <c r="AH60" s="134"/>
      <c r="AI60" s="132"/>
      <c r="AJ60" s="133"/>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151.5" hidden="1" customHeight="1" x14ac:dyDescent="0.3">
      <c r="A61" s="273"/>
      <c r="B61" s="275"/>
      <c r="C61" s="275"/>
      <c r="D61" s="275"/>
      <c r="E61" s="277"/>
      <c r="F61" s="275"/>
      <c r="G61" s="279"/>
      <c r="H61" s="281"/>
      <c r="I61" s="239"/>
      <c r="J61" s="284"/>
      <c r="K61" s="239">
        <f ca="1">IF(NOT(ISERROR(MATCH(J61,_xlfn.ANCHORARRAY(#REF!),0))),#REF!&amp;"Por favor no seleccionar los criterios de impacto",J61)</f>
        <v>0</v>
      </c>
      <c r="L61" s="281"/>
      <c r="M61" s="239"/>
      <c r="N61" s="270"/>
      <c r="O61" s="138">
        <v>5</v>
      </c>
      <c r="P61" s="123"/>
      <c r="Q61" s="124" t="str">
        <f t="shared" si="65"/>
        <v/>
      </c>
      <c r="R61" s="125"/>
      <c r="S61" s="125"/>
      <c r="T61" s="126" t="str">
        <f t="shared" si="62"/>
        <v/>
      </c>
      <c r="U61" s="125"/>
      <c r="V61" s="125"/>
      <c r="W61" s="125"/>
      <c r="X61" s="127" t="str">
        <f t="shared" si="66"/>
        <v/>
      </c>
      <c r="Y61" s="128" t="str">
        <f t="shared" si="1"/>
        <v/>
      </c>
      <c r="Z61" s="129" t="str">
        <f t="shared" si="63"/>
        <v/>
      </c>
      <c r="AA61" s="128" t="str">
        <f t="shared" si="3"/>
        <v/>
      </c>
      <c r="AB61" s="137" t="str">
        <f t="shared" si="67"/>
        <v/>
      </c>
      <c r="AC61" s="130" t="str">
        <f t="shared" ref="AC61:AC62" si="68">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3"/>
      <c r="AG61" s="134"/>
      <c r="AH61" s="134"/>
      <c r="AI61" s="132"/>
      <c r="AJ61" s="133"/>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151.5" hidden="1" customHeight="1" x14ac:dyDescent="0.3">
      <c r="A62" s="274"/>
      <c r="B62" s="213"/>
      <c r="C62" s="213"/>
      <c r="D62" s="213"/>
      <c r="E62" s="278"/>
      <c r="F62" s="213"/>
      <c r="G62" s="215"/>
      <c r="H62" s="282"/>
      <c r="I62" s="240"/>
      <c r="J62" s="285"/>
      <c r="K62" s="240">
        <f ca="1">IF(NOT(ISERROR(MATCH(J62,_xlfn.ANCHORARRAY(#REF!),0))),#REF!&amp;"Por favor no seleccionar los criterios de impacto",J62)</f>
        <v>0</v>
      </c>
      <c r="L62" s="282"/>
      <c r="M62" s="240"/>
      <c r="N62" s="271"/>
      <c r="O62" s="138">
        <v>6</v>
      </c>
      <c r="P62" s="123"/>
      <c r="Q62" s="124" t="str">
        <f t="shared" si="65"/>
        <v/>
      </c>
      <c r="R62" s="125"/>
      <c r="S62" s="125"/>
      <c r="T62" s="126" t="str">
        <f t="shared" si="62"/>
        <v/>
      </c>
      <c r="U62" s="125"/>
      <c r="V62" s="125"/>
      <c r="W62" s="125"/>
      <c r="X62" s="127" t="str">
        <f t="shared" si="66"/>
        <v/>
      </c>
      <c r="Y62" s="128" t="str">
        <f t="shared" si="1"/>
        <v/>
      </c>
      <c r="Z62" s="129" t="str">
        <f t="shared" si="63"/>
        <v/>
      </c>
      <c r="AA62" s="128" t="str">
        <f t="shared" si="3"/>
        <v/>
      </c>
      <c r="AB62" s="137" t="str">
        <f t="shared" si="67"/>
        <v/>
      </c>
      <c r="AC62" s="130" t="str">
        <f t="shared" si="68"/>
        <v/>
      </c>
      <c r="AD62" s="131"/>
      <c r="AE62" s="132"/>
      <c r="AF62" s="133"/>
      <c r="AG62" s="134"/>
      <c r="AH62" s="134"/>
      <c r="AI62" s="132"/>
      <c r="AJ62" s="133"/>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151.5" hidden="1" customHeight="1" x14ac:dyDescent="0.3">
      <c r="A63" s="272">
        <v>10</v>
      </c>
      <c r="B63" s="212"/>
      <c r="C63" s="212"/>
      <c r="D63" s="212"/>
      <c r="E63" s="276"/>
      <c r="F63" s="212"/>
      <c r="G63" s="214"/>
      <c r="H63" s="280" t="str">
        <f>IF(G63&lt;=0,"",IF(G63&lt;=2,"Muy Baja",IF(G63&lt;=24,"Baja",IF(G63&lt;=500,"Media",IF(G63&lt;=5000,"Alta","Muy Alta")))))</f>
        <v/>
      </c>
      <c r="I63" s="238" t="str">
        <f>IF(H63="","",IF(H63="Muy Baja",0.2,IF(H63="Baja",0.4,IF(H63="Media",0.6,IF(H63="Alta",0.8,IF(H63="Muy Alta",1,))))))</f>
        <v/>
      </c>
      <c r="J63" s="283"/>
      <c r="K63" s="238">
        <f ca="1">IF(NOT(ISERROR(MATCH(J63,'Tabla Impacto'!$B$221:$B$223,0))),'Tabla Impacto'!$F$223&amp;"Por favor no seleccionar los criterios de impacto(Afectación Económica o presupuestal y Pérdida Reputacional)",J63)</f>
        <v>0</v>
      </c>
      <c r="L63" s="280" t="str">
        <f ca="1">IF(OR(K63='Tabla Impacto'!$C$11,K63='Tabla Impacto'!$D$11),"Leve",IF(OR(K63='Tabla Impacto'!$C$12,K63='Tabla Impacto'!$D$12),"Menor",IF(OR(K63='Tabla Impacto'!$C$13,K63='Tabla Impacto'!$D$13),"Moderado",IF(OR(K63='Tabla Impacto'!$C$14,K63='Tabla Impacto'!$D$14),"Mayor",IF(OR(K63='Tabla Impacto'!$C$15,K63='Tabla Impacto'!$D$15),"Catastrófico","")))))</f>
        <v/>
      </c>
      <c r="M63" s="238" t="str">
        <f ca="1">IF(L63="","",IF(L63="Leve",0.2,IF(L63="Menor",0.4,IF(L63="Moderado",0.6,IF(L63="Mayor",0.8,IF(L63="Catastrófico",1,))))))</f>
        <v/>
      </c>
      <c r="N63" s="269" t="str">
        <f ca="1">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138">
        <v>1</v>
      </c>
      <c r="P63" s="123"/>
      <c r="Q63" s="124" t="str">
        <f>IF(OR(R63="Preventivo",R63="Detectivo"),"Probabilidad",IF(R63="Correctivo","Impacto",""))</f>
        <v/>
      </c>
      <c r="R63" s="125"/>
      <c r="S63" s="125"/>
      <c r="T63" s="126" t="str">
        <f>IF(AND(R63="Preventivo",S63="Automático"),"50%",IF(AND(R63="Preventivo",S63="Manual"),"40%",IF(AND(R63="Detectivo",S63="Automático"),"40%",IF(AND(R63="Detectivo",S63="Manual"),"30%",IF(AND(R63="Correctivo",S63="Automático"),"35%",IF(AND(R63="Correctivo",S63="Manual"),"25%",""))))))</f>
        <v/>
      </c>
      <c r="U63" s="125"/>
      <c r="V63" s="125"/>
      <c r="W63" s="125"/>
      <c r="X63" s="127" t="str">
        <f>IFERROR(IF(Q63="Probabilidad",(I63-(+I63*T63)),IF(Q63="Impacto",I63,"")),"")</f>
        <v/>
      </c>
      <c r="Y63" s="128" t="str">
        <f>IFERROR(IF(X63="","",IF(X63&lt;=0.2,"Muy Baja",IF(X63&lt;=0.4,"Baja",IF(X63&lt;=0.6,"Media",IF(X63&lt;=0.8,"Alta","Muy Alta"))))),"")</f>
        <v/>
      </c>
      <c r="Z63" s="129" t="str">
        <f>+X63</f>
        <v/>
      </c>
      <c r="AA63" s="128" t="str">
        <f>IFERROR(IF(AB63="","",IF(AB63&lt;=0.2,"Leve",IF(AB63&lt;=0.4,"Menor",IF(AB63&lt;=0.6,"Moderado",IF(AB63&lt;=0.8,"Mayor","Catastrófico"))))),"")</f>
        <v/>
      </c>
      <c r="AB63" s="137" t="str">
        <f>IFERROR(IF(Q63="Impacto",(M63-(+M63*T63)),IF(Q63="Probabilidad",M63,"")),"")</f>
        <v/>
      </c>
      <c r="AC63" s="130"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31"/>
      <c r="AE63" s="132"/>
      <c r="AF63" s="133"/>
      <c r="AG63" s="134"/>
      <c r="AH63" s="134"/>
      <c r="AI63" s="132"/>
      <c r="AJ63" s="133"/>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151.5" hidden="1" customHeight="1" x14ac:dyDescent="0.3">
      <c r="A64" s="273"/>
      <c r="B64" s="275"/>
      <c r="C64" s="275"/>
      <c r="D64" s="275"/>
      <c r="E64" s="277"/>
      <c r="F64" s="275"/>
      <c r="G64" s="279"/>
      <c r="H64" s="281"/>
      <c r="I64" s="239"/>
      <c r="J64" s="284"/>
      <c r="K64" s="239">
        <f ca="1">IF(NOT(ISERROR(MATCH(J64,_xlfn.ANCHORARRAY(#REF!),0))),#REF!&amp;"Por favor no seleccionar los criterios de impacto",J64)</f>
        <v>0</v>
      </c>
      <c r="L64" s="281"/>
      <c r="M64" s="239"/>
      <c r="N64" s="270"/>
      <c r="O64" s="138">
        <v>2</v>
      </c>
      <c r="P64" s="123"/>
      <c r="Q64" s="124" t="str">
        <f>IF(OR(R64="Preventivo",R64="Detectivo"),"Probabilidad",IF(R64="Correctivo","Impacto",""))</f>
        <v/>
      </c>
      <c r="R64" s="125"/>
      <c r="S64" s="125"/>
      <c r="T64" s="126" t="str">
        <f t="shared" ref="T64:T68" si="69">IF(AND(R64="Preventivo",S64="Automático"),"50%",IF(AND(R64="Preventivo",S64="Manual"),"40%",IF(AND(R64="Detectivo",S64="Automático"),"40%",IF(AND(R64="Detectivo",S64="Manual"),"30%",IF(AND(R64="Correctivo",S64="Automático"),"35%",IF(AND(R64="Correctivo",S64="Manual"),"25%",""))))))</f>
        <v/>
      </c>
      <c r="U64" s="125"/>
      <c r="V64" s="125"/>
      <c r="W64" s="125"/>
      <c r="X64" s="127" t="str">
        <f>IFERROR(IF(AND(Q63="Probabilidad",Q64="Probabilidad"),(Z63-(+Z63*T64)),IF(Q64="Probabilidad",(I63-(+I63*T64)),IF(Q64="Impacto",Z63,""))),"")</f>
        <v/>
      </c>
      <c r="Y64" s="128" t="str">
        <f t="shared" si="1"/>
        <v/>
      </c>
      <c r="Z64" s="129" t="str">
        <f t="shared" ref="Z64:Z68" si="70">+X64</f>
        <v/>
      </c>
      <c r="AA64" s="128" t="str">
        <f t="shared" si="3"/>
        <v/>
      </c>
      <c r="AB64" s="137" t="str">
        <f>IFERROR(IF(AND(Q63="Impacto",Q64="Impacto"),(AB63-(+AB63*T64)),IF(Q64="Impacto",(M63-(+M63*T64)),IF(Q64="Probabilidad",AB63,""))),"")</f>
        <v/>
      </c>
      <c r="AC64" s="130" t="str">
        <f t="shared" ref="AC64:AC65" si="71">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3"/>
      <c r="AG64" s="134"/>
      <c r="AH64" s="134"/>
      <c r="AI64" s="132"/>
      <c r="AJ64" s="133"/>
    </row>
    <row r="65" spans="1:36" ht="13.5" hidden="1" customHeight="1" x14ac:dyDescent="0.3">
      <c r="A65" s="273"/>
      <c r="B65" s="275"/>
      <c r="C65" s="275"/>
      <c r="D65" s="275"/>
      <c r="E65" s="277"/>
      <c r="F65" s="275"/>
      <c r="G65" s="279"/>
      <c r="H65" s="281"/>
      <c r="I65" s="239"/>
      <c r="J65" s="284"/>
      <c r="K65" s="239">
        <f ca="1">IF(NOT(ISERROR(MATCH(J65,_xlfn.ANCHORARRAY(#REF!),0))),#REF!&amp;"Por favor no seleccionar los criterios de impacto",J65)</f>
        <v>0</v>
      </c>
      <c r="L65" s="281"/>
      <c r="M65" s="239"/>
      <c r="N65" s="270"/>
      <c r="O65" s="138">
        <v>3</v>
      </c>
      <c r="P65" s="135"/>
      <c r="Q65" s="124" t="str">
        <f>IF(OR(R65="Preventivo",R65="Detectivo"),"Probabilidad",IF(R65="Correctivo","Impacto",""))</f>
        <v/>
      </c>
      <c r="R65" s="125"/>
      <c r="S65" s="125"/>
      <c r="T65" s="126" t="str">
        <f t="shared" si="69"/>
        <v/>
      </c>
      <c r="U65" s="125"/>
      <c r="V65" s="125"/>
      <c r="W65" s="125"/>
      <c r="X65" s="127" t="str">
        <f>IFERROR(IF(AND(Q64="Probabilidad",Q65="Probabilidad"),(Z64-(+Z64*T65)),IF(AND(Q64="Impacto",Q65="Probabilidad"),(Z63-(+Z63*T65)),IF(Q65="Impacto",Z64,""))),"")</f>
        <v/>
      </c>
      <c r="Y65" s="128" t="str">
        <f t="shared" si="1"/>
        <v/>
      </c>
      <c r="Z65" s="129" t="str">
        <f t="shared" si="70"/>
        <v/>
      </c>
      <c r="AA65" s="128" t="str">
        <f t="shared" si="3"/>
        <v/>
      </c>
      <c r="AB65" s="137" t="str">
        <f>IFERROR(IF(AND(Q64="Impacto",Q65="Impacto"),(AB64-(+AB64*T65)),IF(AND(Q64="Probabilidad",Q65="Impacto"),(AB63-(+AB63*T65)),IF(Q65="Probabilidad",AB64,""))),"")</f>
        <v/>
      </c>
      <c r="AC65" s="130" t="str">
        <f t="shared" si="71"/>
        <v/>
      </c>
      <c r="AD65" s="131"/>
      <c r="AE65" s="132"/>
      <c r="AF65" s="133"/>
      <c r="AG65" s="134"/>
      <c r="AH65" s="134"/>
      <c r="AI65" s="132"/>
      <c r="AJ65" s="133"/>
    </row>
    <row r="66" spans="1:36" ht="151.5" hidden="1" customHeight="1" x14ac:dyDescent="0.3">
      <c r="A66" s="273"/>
      <c r="B66" s="275"/>
      <c r="C66" s="275"/>
      <c r="D66" s="275"/>
      <c r="E66" s="277"/>
      <c r="F66" s="275"/>
      <c r="G66" s="279"/>
      <c r="H66" s="281"/>
      <c r="I66" s="239"/>
      <c r="J66" s="284"/>
      <c r="K66" s="239">
        <f ca="1">IF(NOT(ISERROR(MATCH(J66,_xlfn.ANCHORARRAY(#REF!),0))),#REF!&amp;"Por favor no seleccionar los criterios de impacto",J66)</f>
        <v>0</v>
      </c>
      <c r="L66" s="281"/>
      <c r="M66" s="239"/>
      <c r="N66" s="270"/>
      <c r="O66" s="138">
        <v>4</v>
      </c>
      <c r="P66" s="123"/>
      <c r="Q66" s="124" t="str">
        <f t="shared" ref="Q66:Q68" si="72">IF(OR(R66="Preventivo",R66="Detectivo"),"Probabilidad",IF(R66="Correctivo","Impacto",""))</f>
        <v/>
      </c>
      <c r="R66" s="125"/>
      <c r="S66" s="125"/>
      <c r="T66" s="126" t="str">
        <f t="shared" si="69"/>
        <v/>
      </c>
      <c r="U66" s="125"/>
      <c r="V66" s="125"/>
      <c r="W66" s="125"/>
      <c r="X66" s="127" t="str">
        <f t="shared" ref="X66:X68" si="73">IFERROR(IF(AND(Q65="Probabilidad",Q66="Probabilidad"),(Z65-(+Z65*T66)),IF(AND(Q65="Impacto",Q66="Probabilidad"),(Z64-(+Z64*T66)),IF(Q66="Impacto",Z65,""))),"")</f>
        <v/>
      </c>
      <c r="Y66" s="128" t="str">
        <f t="shared" si="1"/>
        <v/>
      </c>
      <c r="Z66" s="129" t="str">
        <f t="shared" si="70"/>
        <v/>
      </c>
      <c r="AA66" s="128" t="str">
        <f t="shared" si="3"/>
        <v/>
      </c>
      <c r="AB66" s="137" t="str">
        <f t="shared" ref="AB66:AB68" si="74">IFERROR(IF(AND(Q65="Impacto",Q66="Impacto"),(AB65-(+AB65*T66)),IF(AND(Q65="Probabilidad",Q66="Impacto"),(AB64-(+AB64*T66)),IF(Q66="Probabilidad",AB65,""))),"")</f>
        <v/>
      </c>
      <c r="AC66" s="130"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31"/>
      <c r="AE66" s="132"/>
      <c r="AF66" s="133"/>
      <c r="AG66" s="134"/>
      <c r="AH66" s="134"/>
      <c r="AI66" s="132"/>
      <c r="AJ66" s="133"/>
    </row>
    <row r="67" spans="1:36" ht="151.5" hidden="1" customHeight="1" x14ac:dyDescent="0.3">
      <c r="A67" s="273"/>
      <c r="B67" s="275"/>
      <c r="C67" s="275"/>
      <c r="D67" s="275"/>
      <c r="E67" s="277"/>
      <c r="F67" s="275"/>
      <c r="G67" s="279"/>
      <c r="H67" s="281"/>
      <c r="I67" s="239"/>
      <c r="J67" s="284"/>
      <c r="K67" s="239">
        <f ca="1">IF(NOT(ISERROR(MATCH(J67,_xlfn.ANCHORARRAY(#REF!),0))),#REF!&amp;"Por favor no seleccionar los criterios de impacto",J67)</f>
        <v>0</v>
      </c>
      <c r="L67" s="281"/>
      <c r="M67" s="239"/>
      <c r="N67" s="270"/>
      <c r="O67" s="138">
        <v>5</v>
      </c>
      <c r="P67" s="123"/>
      <c r="Q67" s="124" t="str">
        <f t="shared" si="72"/>
        <v/>
      </c>
      <c r="R67" s="125"/>
      <c r="S67" s="125"/>
      <c r="T67" s="126" t="str">
        <f t="shared" si="69"/>
        <v/>
      </c>
      <c r="U67" s="125"/>
      <c r="V67" s="125"/>
      <c r="W67" s="125"/>
      <c r="X67" s="127" t="str">
        <f t="shared" si="73"/>
        <v/>
      </c>
      <c r="Y67" s="128" t="str">
        <f t="shared" si="1"/>
        <v/>
      </c>
      <c r="Z67" s="129" t="str">
        <f t="shared" si="70"/>
        <v/>
      </c>
      <c r="AA67" s="128" t="str">
        <f t="shared" si="3"/>
        <v/>
      </c>
      <c r="AB67" s="137" t="str">
        <f t="shared" si="74"/>
        <v/>
      </c>
      <c r="AC67" s="130" t="str">
        <f t="shared" ref="AC67:AC68" si="75">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3"/>
      <c r="AG67" s="134"/>
      <c r="AH67" s="134"/>
      <c r="AI67" s="132"/>
      <c r="AJ67" s="133"/>
    </row>
    <row r="68" spans="1:36" ht="151.5" hidden="1" customHeight="1" x14ac:dyDescent="0.3">
      <c r="A68" s="274"/>
      <c r="B68" s="213"/>
      <c r="C68" s="213"/>
      <c r="D68" s="213"/>
      <c r="E68" s="278"/>
      <c r="F68" s="213"/>
      <c r="G68" s="215"/>
      <c r="H68" s="282"/>
      <c r="I68" s="240"/>
      <c r="J68" s="285"/>
      <c r="K68" s="240">
        <f ca="1">IF(NOT(ISERROR(MATCH(J68,_xlfn.ANCHORARRAY(#REF!),0))),#REF!&amp;"Por favor no seleccionar los criterios de impacto",J68)</f>
        <v>0</v>
      </c>
      <c r="L68" s="282"/>
      <c r="M68" s="240"/>
      <c r="N68" s="271"/>
      <c r="O68" s="138">
        <v>6</v>
      </c>
      <c r="P68" s="123"/>
      <c r="Q68" s="124" t="str">
        <f t="shared" si="72"/>
        <v/>
      </c>
      <c r="R68" s="125"/>
      <c r="S68" s="125"/>
      <c r="T68" s="126" t="str">
        <f t="shared" si="69"/>
        <v/>
      </c>
      <c r="U68" s="125"/>
      <c r="V68" s="125"/>
      <c r="W68" s="125"/>
      <c r="X68" s="127" t="str">
        <f t="shared" si="73"/>
        <v/>
      </c>
      <c r="Y68" s="128" t="str">
        <f t="shared" si="1"/>
        <v/>
      </c>
      <c r="Z68" s="129" t="str">
        <f t="shared" si="70"/>
        <v/>
      </c>
      <c r="AA68" s="128" t="str">
        <f t="shared" si="3"/>
        <v/>
      </c>
      <c r="AB68" s="137" t="str">
        <f t="shared" si="74"/>
        <v/>
      </c>
      <c r="AC68" s="130" t="str">
        <f t="shared" si="75"/>
        <v/>
      </c>
      <c r="AD68" s="131"/>
      <c r="AE68" s="132"/>
      <c r="AF68" s="133"/>
      <c r="AG68" s="134"/>
      <c r="AH68" s="134"/>
      <c r="AI68" s="132"/>
      <c r="AJ68" s="133"/>
    </row>
    <row r="69" spans="1:36" x14ac:dyDescent="0.3">
      <c r="A69" s="146"/>
      <c r="B69" s="286" t="s">
        <v>223</v>
      </c>
      <c r="C69" s="287"/>
      <c r="D69" s="287"/>
      <c r="E69" s="287"/>
      <c r="F69" s="287"/>
      <c r="G69" s="287"/>
      <c r="H69" s="287"/>
      <c r="I69" s="287"/>
      <c r="J69" s="287"/>
      <c r="K69" s="287"/>
      <c r="L69" s="287"/>
      <c r="M69" s="287"/>
      <c r="N69" s="287"/>
      <c r="O69" s="288"/>
      <c r="P69" s="288"/>
      <c r="Q69" s="288"/>
      <c r="R69" s="288"/>
      <c r="S69" s="288"/>
      <c r="T69" s="288"/>
      <c r="U69" s="288"/>
      <c r="V69" s="288"/>
      <c r="W69" s="288"/>
      <c r="X69" s="288"/>
      <c r="Y69" s="288"/>
      <c r="Z69" s="288"/>
      <c r="AA69" s="288"/>
      <c r="AB69" s="288"/>
      <c r="AC69" s="288"/>
      <c r="AD69" s="288"/>
      <c r="AE69" s="288"/>
      <c r="AF69" s="288"/>
      <c r="AG69" s="288"/>
      <c r="AH69" s="288"/>
      <c r="AI69" s="288"/>
      <c r="AJ69" s="289"/>
    </row>
    <row r="70" spans="1:36" x14ac:dyDescent="0.3">
      <c r="A70" s="290" t="s">
        <v>222</v>
      </c>
      <c r="B70" s="29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2"/>
    </row>
    <row r="71" spans="1:36" x14ac:dyDescent="0.3">
      <c r="A71" s="293"/>
      <c r="B71" s="294"/>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5"/>
    </row>
    <row r="72" spans="1:36" ht="23.25" x14ac:dyDescent="0.3">
      <c r="A72" s="256" t="s">
        <v>43</v>
      </c>
      <c r="B72" s="257"/>
      <c r="C72" s="263" t="s">
        <v>224</v>
      </c>
      <c r="D72" s="264"/>
      <c r="E72" s="264"/>
      <c r="F72" s="264"/>
      <c r="G72" s="264"/>
      <c r="H72" s="264"/>
      <c r="I72" s="264"/>
      <c r="J72" s="264"/>
      <c r="K72" s="264"/>
      <c r="L72" s="264"/>
      <c r="M72" s="264"/>
      <c r="N72" s="265"/>
      <c r="O72" s="296"/>
      <c r="P72" s="296"/>
      <c r="Q72" s="296"/>
      <c r="R72" s="7"/>
      <c r="S72" s="7"/>
      <c r="T72" s="7"/>
      <c r="U72" s="7"/>
      <c r="V72" s="7"/>
      <c r="W72" s="7"/>
      <c r="X72" s="7"/>
      <c r="Y72" s="7"/>
      <c r="Z72" s="7"/>
      <c r="AA72" s="7"/>
      <c r="AB72" s="7"/>
      <c r="AC72" s="7"/>
      <c r="AD72" s="7"/>
      <c r="AE72" s="7"/>
      <c r="AF72" s="7"/>
      <c r="AG72" s="7"/>
      <c r="AH72" s="7"/>
      <c r="AI72" s="7"/>
      <c r="AJ72" s="7"/>
    </row>
    <row r="73" spans="1:36" ht="23.25" x14ac:dyDescent="0.3">
      <c r="A73" s="256" t="s">
        <v>130</v>
      </c>
      <c r="B73" s="257"/>
      <c r="C73" s="263" t="s">
        <v>225</v>
      </c>
      <c r="D73" s="264"/>
      <c r="E73" s="264"/>
      <c r="F73" s="264"/>
      <c r="G73" s="264"/>
      <c r="H73" s="264"/>
      <c r="I73" s="264"/>
      <c r="J73" s="264"/>
      <c r="K73" s="264"/>
      <c r="L73" s="264"/>
      <c r="M73" s="264"/>
      <c r="N73" s="265"/>
      <c r="O73" s="24"/>
      <c r="P73" s="7"/>
      <c r="Q73" s="7"/>
      <c r="R73" s="7"/>
      <c r="S73" s="7"/>
      <c r="T73" s="7"/>
      <c r="U73" s="7"/>
      <c r="V73" s="7"/>
      <c r="W73" s="7"/>
      <c r="X73" s="7"/>
      <c r="Y73" s="7"/>
      <c r="Z73" s="7"/>
      <c r="AA73" s="7"/>
      <c r="AB73" s="7"/>
      <c r="AC73" s="7"/>
      <c r="AD73" s="7"/>
      <c r="AE73" s="7"/>
      <c r="AF73" s="7"/>
      <c r="AG73" s="7"/>
      <c r="AH73" s="7"/>
      <c r="AI73" s="7"/>
      <c r="AJ73" s="7"/>
    </row>
    <row r="74" spans="1:36" ht="23.25" x14ac:dyDescent="0.3">
      <c r="A74" s="256" t="s">
        <v>44</v>
      </c>
      <c r="B74" s="257"/>
      <c r="C74" s="266" t="s">
        <v>226</v>
      </c>
      <c r="D74" s="267"/>
      <c r="E74" s="267"/>
      <c r="F74" s="267"/>
      <c r="G74" s="267"/>
      <c r="H74" s="267"/>
      <c r="I74" s="267"/>
      <c r="J74" s="267"/>
      <c r="K74" s="267"/>
      <c r="L74" s="267"/>
      <c r="M74" s="267"/>
      <c r="N74" s="268"/>
      <c r="O74" s="24"/>
      <c r="P74" s="7"/>
      <c r="Q74" s="7"/>
      <c r="R74" s="7"/>
      <c r="S74" s="7"/>
      <c r="T74" s="7"/>
      <c r="U74" s="7"/>
      <c r="V74" s="7"/>
      <c r="W74" s="7"/>
      <c r="X74" s="7"/>
      <c r="Y74" s="7"/>
      <c r="Z74" s="7"/>
      <c r="AA74" s="7"/>
      <c r="AB74" s="7"/>
      <c r="AC74" s="7"/>
      <c r="AD74" s="7"/>
      <c r="AE74" s="7"/>
      <c r="AF74" s="7"/>
      <c r="AG74" s="7"/>
      <c r="AH74" s="7"/>
      <c r="AI74" s="7"/>
      <c r="AJ74" s="7"/>
    </row>
    <row r="75" spans="1:36" x14ac:dyDescent="0.3">
      <c r="A75" s="297" t="s">
        <v>138</v>
      </c>
      <c r="B75" s="298"/>
      <c r="C75" s="298"/>
      <c r="D75" s="298"/>
      <c r="E75" s="298"/>
      <c r="F75" s="298"/>
      <c r="G75" s="299"/>
      <c r="H75" s="297" t="s">
        <v>139</v>
      </c>
      <c r="I75" s="298"/>
      <c r="J75" s="298"/>
      <c r="K75" s="298"/>
      <c r="L75" s="298"/>
      <c r="M75" s="298"/>
      <c r="N75" s="299"/>
      <c r="O75" s="297" t="s">
        <v>140</v>
      </c>
      <c r="P75" s="298"/>
      <c r="Q75" s="298"/>
      <c r="R75" s="298"/>
      <c r="S75" s="298"/>
      <c r="T75" s="298"/>
      <c r="U75" s="298"/>
      <c r="V75" s="298"/>
      <c r="W75" s="299"/>
      <c r="X75" s="297" t="s">
        <v>141</v>
      </c>
      <c r="Y75" s="298"/>
      <c r="Z75" s="298"/>
      <c r="AA75" s="298"/>
      <c r="AB75" s="298"/>
      <c r="AC75" s="298"/>
      <c r="AD75" s="299"/>
      <c r="AE75" s="297" t="s">
        <v>34</v>
      </c>
      <c r="AF75" s="298"/>
      <c r="AG75" s="298"/>
      <c r="AH75" s="298"/>
      <c r="AI75" s="298"/>
      <c r="AJ75" s="299"/>
    </row>
    <row r="76" spans="1:36" x14ac:dyDescent="0.3">
      <c r="A76" s="258" t="s">
        <v>0</v>
      </c>
      <c r="B76" s="251" t="s">
        <v>2</v>
      </c>
      <c r="C76" s="245" t="s">
        <v>3</v>
      </c>
      <c r="D76" s="245" t="s">
        <v>42</v>
      </c>
      <c r="E76" s="260" t="s">
        <v>1</v>
      </c>
      <c r="F76" s="252" t="s">
        <v>50</v>
      </c>
      <c r="G76" s="245" t="s">
        <v>134</v>
      </c>
      <c r="H76" s="247" t="s">
        <v>33</v>
      </c>
      <c r="I76" s="248" t="s">
        <v>5</v>
      </c>
      <c r="J76" s="252" t="s">
        <v>87</v>
      </c>
      <c r="K76" s="252" t="s">
        <v>92</v>
      </c>
      <c r="L76" s="250" t="s">
        <v>45</v>
      </c>
      <c r="M76" s="248" t="s">
        <v>5</v>
      </c>
      <c r="N76" s="245" t="s">
        <v>48</v>
      </c>
      <c r="O76" s="261" t="s">
        <v>11</v>
      </c>
      <c r="P76" s="246" t="s">
        <v>160</v>
      </c>
      <c r="Q76" s="252" t="s">
        <v>12</v>
      </c>
      <c r="R76" s="246" t="s">
        <v>8</v>
      </c>
      <c r="S76" s="246"/>
      <c r="T76" s="246"/>
      <c r="U76" s="246"/>
      <c r="V76" s="246"/>
      <c r="W76" s="246"/>
      <c r="X76" s="244" t="s">
        <v>137</v>
      </c>
      <c r="Y76" s="244" t="s">
        <v>46</v>
      </c>
      <c r="Z76" s="244" t="s">
        <v>5</v>
      </c>
      <c r="AA76" s="244" t="s">
        <v>47</v>
      </c>
      <c r="AB76" s="244" t="s">
        <v>5</v>
      </c>
      <c r="AC76" s="244" t="s">
        <v>49</v>
      </c>
      <c r="AD76" s="261" t="s">
        <v>29</v>
      </c>
      <c r="AE76" s="246" t="s">
        <v>34</v>
      </c>
      <c r="AF76" s="246" t="s">
        <v>35</v>
      </c>
      <c r="AG76" s="246" t="s">
        <v>36</v>
      </c>
      <c r="AH76" s="246" t="s">
        <v>38</v>
      </c>
      <c r="AI76" s="246" t="s">
        <v>37</v>
      </c>
      <c r="AJ76" s="246" t="s">
        <v>39</v>
      </c>
    </row>
    <row r="77" spans="1:36" ht="78.75" x14ac:dyDescent="0.3">
      <c r="A77" s="259"/>
      <c r="B77" s="251"/>
      <c r="C77" s="246"/>
      <c r="D77" s="246"/>
      <c r="E77" s="251"/>
      <c r="F77" s="245"/>
      <c r="G77" s="246"/>
      <c r="H77" s="245"/>
      <c r="I77" s="249"/>
      <c r="J77" s="245"/>
      <c r="K77" s="245"/>
      <c r="L77" s="249"/>
      <c r="M77" s="249"/>
      <c r="N77" s="246"/>
      <c r="O77" s="262"/>
      <c r="P77" s="246"/>
      <c r="Q77" s="245"/>
      <c r="R77" s="6" t="s">
        <v>13</v>
      </c>
      <c r="S77" s="6" t="s">
        <v>17</v>
      </c>
      <c r="T77" s="6" t="s">
        <v>28</v>
      </c>
      <c r="U77" s="6" t="s">
        <v>18</v>
      </c>
      <c r="V77" s="6" t="s">
        <v>21</v>
      </c>
      <c r="W77" s="6" t="s">
        <v>24</v>
      </c>
      <c r="X77" s="244"/>
      <c r="Y77" s="244"/>
      <c r="Z77" s="244"/>
      <c r="AA77" s="244"/>
      <c r="AB77" s="244"/>
      <c r="AC77" s="244"/>
      <c r="AD77" s="262"/>
      <c r="AE77" s="246"/>
      <c r="AF77" s="246"/>
      <c r="AG77" s="246"/>
      <c r="AH77" s="246"/>
      <c r="AI77" s="246"/>
      <c r="AJ77" s="246"/>
    </row>
    <row r="78" spans="1:36" x14ac:dyDescent="0.3">
      <c r="A78" s="210">
        <v>1</v>
      </c>
      <c r="B78" s="223" t="s">
        <v>133</v>
      </c>
      <c r="C78" s="223" t="s">
        <v>227</v>
      </c>
      <c r="D78" s="223" t="s">
        <v>228</v>
      </c>
      <c r="E78" s="226" t="s">
        <v>229</v>
      </c>
      <c r="F78" s="223" t="s">
        <v>123</v>
      </c>
      <c r="G78" s="253">
        <v>246</v>
      </c>
      <c r="H78" s="241" t="str">
        <f>IF(G78&lt;=0,"",IF(G78&lt;=2,"Muy Baja",IF(G78&lt;=24,"Baja",IF(G78&lt;=500,"Media",IF(G78&lt;=5000,"Alta","Muy Alta")))))</f>
        <v>Media</v>
      </c>
      <c r="I78" s="232">
        <f>IF(H78="","",IF(H78="Muy Baja",0.2,IF(H78="Baja",0.4,IF(H78="Media",0.6,IF(H78="Alta",0.8,IF(H78="Muy Alta",1,))))))</f>
        <v>0.6</v>
      </c>
      <c r="J78" s="235" t="s">
        <v>143</v>
      </c>
      <c r="K78" s="238" t="str">
        <f>IF(NOT(ISERROR(MATCH(J78,'[1]Tabla Impacto'!$B$221:$B$223,0))),'[1]Tabla Impacto'!$F$223&amp;"Por favor no seleccionar los criterios de impacto(Afectación Económica o presupuestal y Pérdida Reputacional)",J78)</f>
        <v xml:space="preserve">     Afectación menor a 10 SMLMV .</v>
      </c>
      <c r="L78" s="241" t="str">
        <f>IF(OR(K78='[1]Tabla Impacto'!$C$11,K78='[1]Tabla Impacto'!$D$11),"Leve",IF(OR(K78='[1]Tabla Impacto'!$C$12,K78='[1]Tabla Impacto'!$D$12),"Menor",IF(OR(K78='[1]Tabla Impacto'!$C$13,K78='[1]Tabla Impacto'!$D$13),"Moderado",IF(OR(K78='[1]Tabla Impacto'!$C$14,K78='[1]Tabla Impacto'!$D$14),"Mayor",IF(OR(K78='[1]Tabla Impacto'!$C$15,K78='[1]Tabla Impacto'!$D$15),"Catastrófico","")))))</f>
        <v>Leve</v>
      </c>
      <c r="M78" s="232">
        <f>IF(L78="","",IF(L78="Leve",0.2,IF(L78="Menor",0.4,IF(L78="Moderado",0.6,IF(L78="Mayor",0.8,IF(L78="Catastrófico",1,))))))</f>
        <v>0.2</v>
      </c>
      <c r="N78" s="229" t="str">
        <f>IF(OR(AND(H78="Muy Baja",L78="Leve"),AND(H78="Muy Baja",L78="Menor"),AND(H78="Baja",L78="Leve")),"Bajo",IF(OR(AND(H78="Muy baja",L78="Moderado"),AND(H78="Baja",L78="Menor"),AND(H78="Baja",L78="Moderado"),AND(H78="Media",L78="Leve"),AND(H78="Media",L78="Menor"),AND(H78="Media",L78="Moderado"),AND(H78="Alta",L78="Leve"),AND(H78="Alta",L78="Menor")),"Moderado",IF(OR(AND(H78="Muy Baja",L78="Mayor"),AND(H78="Baja",L78="Mayor"),AND(H78="Media",L78="Mayor"),AND(H78="Alta",L78="Moderado"),AND(H78="Alta",L78="Mayor"),AND(H78="Muy Alta",L78="Leve"),AND(H78="Muy Alta",L78="Menor"),AND(H78="Muy Alta",L78="Moderado"),AND(H78="Muy Alta",L78="Mayor")),"Alto",IF(OR(AND(H78="Muy Baja",L78="Catastrófico"),AND(H78="Baja",L78="Catastrófico"),AND(H78="Media",L78="Catastrófico"),AND(H78="Alta",L78="Catastrófico"),AND(H78="Muy Alta",L78="Catastrófico")),"Extremo",""))))</f>
        <v>Moderado</v>
      </c>
      <c r="O78" s="210">
        <v>1</v>
      </c>
      <c r="P78" s="218" t="s">
        <v>230</v>
      </c>
      <c r="Q78" s="220" t="str">
        <f>IF(OR(R78="Preventivo",R78="Detectivo"),"Probabilidad",IF(R78="Correctivo","Impacto",""))</f>
        <v>Probabilidad</v>
      </c>
      <c r="R78" s="202" t="s">
        <v>14</v>
      </c>
      <c r="S78" s="202" t="s">
        <v>9</v>
      </c>
      <c r="T78" s="200" t="str">
        <f>IF(AND(R78="Preventivo",S78="Automático"),"50%",IF(AND(R78="Preventivo",S78="Manual"),"40%",IF(AND(R78="Detectivo",S78="Automático"),"40%",IF(AND(R78="Detectivo",S78="Manual"),"30%",IF(AND(R78="Correctivo",S78="Automático"),"35%",IF(AND(R78="Correctivo",S78="Manual"),"25%",""))))))</f>
        <v>40%</v>
      </c>
      <c r="U78" s="202" t="s">
        <v>19</v>
      </c>
      <c r="V78" s="202" t="s">
        <v>22</v>
      </c>
      <c r="W78" s="202" t="s">
        <v>119</v>
      </c>
      <c r="X78" s="139">
        <f>IFERROR(IF(Q78="Probabilidad",(I78-(+I78*T78)),IF(Q78="Impacto",I78,"")),"")</f>
        <v>0.36</v>
      </c>
      <c r="Y78" s="204" t="str">
        <f>IFERROR(IF(X78="","",IF(X78&lt;=0.2,"Muy Baja",IF(X78&lt;=0.4,"Baja",IF(X78&lt;=0.6,"Media",IF(X78&lt;=0.8,"Alta","Muy Alta"))))),"")</f>
        <v>Baja</v>
      </c>
      <c r="Z78" s="200">
        <f>+X78</f>
        <v>0.36</v>
      </c>
      <c r="AA78" s="204" t="str">
        <f>IFERROR(IF(AB78="","",IF(AB78&lt;=0.2,"Leve",IF(AB78&lt;=0.4,"Menor",IF(AB78&lt;=0.6,"Moderado",IF(AB78&lt;=0.8,"Mayor","Catastrófico"))))),"")</f>
        <v>Leve</v>
      </c>
      <c r="AB78" s="200">
        <f>IFERROR(IF(Q78="Impacto",(M78-(+M78*T78)),IF(Q78="Probabilidad",M78,"")),"")</f>
        <v>0.2</v>
      </c>
      <c r="AC78" s="208" t="str">
        <f>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Bajo</v>
      </c>
      <c r="AD78" s="202" t="s">
        <v>32</v>
      </c>
      <c r="AE78" s="212"/>
      <c r="AF78" s="214"/>
      <c r="AG78" s="216"/>
      <c r="AH78" s="216"/>
      <c r="AI78" s="212"/>
      <c r="AJ78" s="214"/>
    </row>
    <row r="79" spans="1:36" ht="103.5" customHeight="1" x14ac:dyDescent="0.3">
      <c r="A79" s="222"/>
      <c r="B79" s="224"/>
      <c r="C79" s="224"/>
      <c r="D79" s="224"/>
      <c r="E79" s="227"/>
      <c r="F79" s="224"/>
      <c r="G79" s="254"/>
      <c r="H79" s="242"/>
      <c r="I79" s="233"/>
      <c r="J79" s="236"/>
      <c r="K79" s="239">
        <f ca="1">IF(NOT(ISERROR(MATCH(J79,_xlfn.ANCHORARRAY(E89),0))),I91&amp;"Por favor no seleccionar los criterios de impacto",J79)</f>
        <v>0</v>
      </c>
      <c r="L79" s="242"/>
      <c r="M79" s="233"/>
      <c r="N79" s="230"/>
      <c r="O79" s="211"/>
      <c r="P79" s="219"/>
      <c r="Q79" s="221"/>
      <c r="R79" s="203"/>
      <c r="S79" s="203"/>
      <c r="T79" s="201"/>
      <c r="U79" s="203"/>
      <c r="V79" s="203"/>
      <c r="W79" s="203"/>
      <c r="X79" s="127" t="str">
        <f>IFERROR(IF(AND(Q78="Probabilidad",Q79="Probabilidad"),(Z78-(+Z78*T79)),IF(Q79="Probabilidad",(I78-(+I78*T79)),IF(Q79="Impacto",Z78,""))),"")</f>
        <v/>
      </c>
      <c r="Y79" s="205"/>
      <c r="Z79" s="201"/>
      <c r="AA79" s="205"/>
      <c r="AB79" s="201"/>
      <c r="AC79" s="209"/>
      <c r="AD79" s="203"/>
      <c r="AE79" s="213"/>
      <c r="AF79" s="215"/>
      <c r="AG79" s="217"/>
      <c r="AH79" s="217"/>
      <c r="AI79" s="213"/>
      <c r="AJ79" s="215"/>
    </row>
    <row r="80" spans="1:36" hidden="1" x14ac:dyDescent="0.3">
      <c r="A80" s="222"/>
      <c r="B80" s="224"/>
      <c r="C80" s="224"/>
      <c r="D80" s="224"/>
      <c r="E80" s="227"/>
      <c r="F80" s="224"/>
      <c r="G80" s="254"/>
      <c r="H80" s="242"/>
      <c r="I80" s="233"/>
      <c r="J80" s="236"/>
      <c r="K80" s="239">
        <f ca="1">IF(NOT(ISERROR(MATCH(J80,_xlfn.ANCHORARRAY(E90),0))),I92&amp;"Por favor no seleccionar los criterios de impacto",J80)</f>
        <v>0</v>
      </c>
      <c r="L80" s="242"/>
      <c r="M80" s="233"/>
      <c r="N80" s="230"/>
      <c r="O80" s="138">
        <v>3</v>
      </c>
      <c r="P80" s="135"/>
      <c r="Q80" s="124" t="str">
        <f>IF(OR(R80="Preventivo",R80="Detectivo"),"Probabilidad",IF(R80="Correctivo","Impacto",""))</f>
        <v/>
      </c>
      <c r="R80" s="125"/>
      <c r="S80" s="125"/>
      <c r="T80" s="126" t="str">
        <f t="shared" ref="T80:T83" si="76">IF(AND(R80="Preventivo",S80="Automático"),"50%",IF(AND(R80="Preventivo",S80="Manual"),"40%",IF(AND(R80="Detectivo",S80="Automático"),"40%",IF(AND(R80="Detectivo",S80="Manual"),"30%",IF(AND(R80="Correctivo",S80="Automático"),"35%",IF(AND(R80="Correctivo",S80="Manual"),"25%",""))))))</f>
        <v/>
      </c>
      <c r="U80" s="125"/>
      <c r="V80" s="125"/>
      <c r="W80" s="125"/>
      <c r="X80" s="127" t="str">
        <f>IFERROR(IF(AND(Q79="Probabilidad",Q80="Probabilidad"),(Z79-(+Z79*T80)),IF(AND(Q79="Impacto",Q80="Probabilidad"),(Z78-(+Z78*T80)),IF(Q80="Impacto",Z79,""))),"")</f>
        <v/>
      </c>
      <c r="Y80" s="128" t="str">
        <f t="shared" ref="Y80:Y83" si="77">IFERROR(IF(X80="","",IF(X80&lt;=0.2,"Muy Baja",IF(X80&lt;=0.4,"Baja",IF(X80&lt;=0.6,"Media",IF(X80&lt;=0.8,"Alta","Muy Alta"))))),"")</f>
        <v/>
      </c>
      <c r="Z80" s="129" t="str">
        <f t="shared" ref="Z80:Z83" si="78">+X80</f>
        <v/>
      </c>
      <c r="AA80" s="128" t="str">
        <f t="shared" ref="AA80:AA83" si="79">IFERROR(IF(AB80="","",IF(AB80&lt;=0.2,"Leve",IF(AB80&lt;=0.4,"Menor",IF(AB80&lt;=0.6,"Moderado",IF(AB80&lt;=0.8,"Mayor","Catastrófico"))))),"")</f>
        <v/>
      </c>
      <c r="AB80" s="137" t="str">
        <f>IFERROR(IF(AND(Q79="Impacto",Q80="Impacto"),(AB79-(+AB79*T80)),IF(AND(Q79="Probabilidad",Q80="Impacto"),(AB78-(+AB78*T80)),IF(Q80="Probabilidad",AB79,""))),"")</f>
        <v/>
      </c>
      <c r="AC80" s="130" t="str">
        <f t="shared" ref="AC80:AC83" si="80">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31"/>
      <c r="AE80" s="132"/>
      <c r="AF80" s="133"/>
      <c r="AG80" s="134"/>
      <c r="AH80" s="134"/>
      <c r="AI80" s="132"/>
      <c r="AJ80" s="133"/>
    </row>
    <row r="81" spans="1:36" hidden="1" x14ac:dyDescent="0.3">
      <c r="A81" s="222"/>
      <c r="B81" s="224"/>
      <c r="C81" s="224"/>
      <c r="D81" s="224"/>
      <c r="E81" s="227"/>
      <c r="F81" s="224"/>
      <c r="G81" s="254"/>
      <c r="H81" s="242"/>
      <c r="I81" s="233"/>
      <c r="J81" s="236"/>
      <c r="K81" s="239">
        <f ca="1">IF(NOT(ISERROR(MATCH(J81,_xlfn.ANCHORARRAY(E91),0))),I93&amp;"Por favor no seleccionar los criterios de impacto",J81)</f>
        <v>0</v>
      </c>
      <c r="L81" s="242"/>
      <c r="M81" s="233"/>
      <c r="N81" s="230"/>
      <c r="O81" s="138">
        <v>4</v>
      </c>
      <c r="P81" s="123"/>
      <c r="Q81" s="124" t="str">
        <f t="shared" ref="Q81:Q83" si="81">IF(OR(R81="Preventivo",R81="Detectivo"),"Probabilidad",IF(R81="Correctivo","Impacto",""))</f>
        <v/>
      </c>
      <c r="R81" s="125"/>
      <c r="S81" s="125"/>
      <c r="T81" s="126" t="str">
        <f t="shared" si="76"/>
        <v/>
      </c>
      <c r="U81" s="125"/>
      <c r="V81" s="125"/>
      <c r="W81" s="125"/>
      <c r="X81" s="127" t="str">
        <f t="shared" ref="X81:X83" si="82">IFERROR(IF(AND(Q80="Probabilidad",Q81="Probabilidad"),(Z80-(+Z80*T81)),IF(AND(Q80="Impacto",Q81="Probabilidad"),(Z79-(+Z79*T81)),IF(Q81="Impacto",Z80,""))),"")</f>
        <v/>
      </c>
      <c r="Y81" s="128" t="str">
        <f t="shared" si="77"/>
        <v/>
      </c>
      <c r="Z81" s="129" t="str">
        <f t="shared" si="78"/>
        <v/>
      </c>
      <c r="AA81" s="128" t="str">
        <f t="shared" si="79"/>
        <v/>
      </c>
      <c r="AB81" s="137" t="str">
        <f t="shared" ref="AB81:AB83" si="83">IFERROR(IF(AND(Q80="Impacto",Q81="Impacto"),(AB80-(+AB80*T81)),IF(AND(Q80="Probabilidad",Q81="Impacto"),(AB79-(+AB79*T81)),IF(Q81="Probabilidad",AB80,""))),"")</f>
        <v/>
      </c>
      <c r="AC81" s="130" t="str">
        <f>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31"/>
      <c r="AE81" s="132"/>
      <c r="AF81" s="133"/>
      <c r="AG81" s="134"/>
      <c r="AH81" s="134"/>
      <c r="AI81" s="132"/>
      <c r="AJ81" s="133"/>
    </row>
    <row r="82" spans="1:36" hidden="1" x14ac:dyDescent="0.3">
      <c r="A82" s="222"/>
      <c r="B82" s="224"/>
      <c r="C82" s="224"/>
      <c r="D82" s="224"/>
      <c r="E82" s="227"/>
      <c r="F82" s="224"/>
      <c r="G82" s="254"/>
      <c r="H82" s="242"/>
      <c r="I82" s="233"/>
      <c r="J82" s="236"/>
      <c r="K82" s="239">
        <f ca="1">IF(NOT(ISERROR(MATCH(J82,_xlfn.ANCHORARRAY(E92),0))),I94&amp;"Por favor no seleccionar los criterios de impacto",J82)</f>
        <v>0</v>
      </c>
      <c r="L82" s="242"/>
      <c r="M82" s="233"/>
      <c r="N82" s="230"/>
      <c r="O82" s="138">
        <v>5</v>
      </c>
      <c r="P82" s="123"/>
      <c r="Q82" s="124" t="str">
        <f t="shared" si="81"/>
        <v/>
      </c>
      <c r="R82" s="125"/>
      <c r="S82" s="125"/>
      <c r="T82" s="126" t="str">
        <f t="shared" si="76"/>
        <v/>
      </c>
      <c r="U82" s="125"/>
      <c r="V82" s="125"/>
      <c r="W82" s="125"/>
      <c r="X82" s="127" t="str">
        <f t="shared" si="82"/>
        <v/>
      </c>
      <c r="Y82" s="128" t="str">
        <f t="shared" si="77"/>
        <v/>
      </c>
      <c r="Z82" s="129" t="str">
        <f t="shared" si="78"/>
        <v/>
      </c>
      <c r="AA82" s="128" t="str">
        <f t="shared" si="79"/>
        <v/>
      </c>
      <c r="AB82" s="137" t="str">
        <f t="shared" si="83"/>
        <v/>
      </c>
      <c r="AC82" s="130" t="str">
        <f t="shared" si="80"/>
        <v/>
      </c>
      <c r="AD82" s="131"/>
      <c r="AE82" s="132"/>
      <c r="AF82" s="133"/>
      <c r="AG82" s="134"/>
      <c r="AH82" s="134"/>
      <c r="AI82" s="132"/>
      <c r="AJ82" s="133"/>
    </row>
    <row r="83" spans="1:36" hidden="1" x14ac:dyDescent="0.3">
      <c r="A83" s="211"/>
      <c r="B83" s="225"/>
      <c r="C83" s="225"/>
      <c r="D83" s="225"/>
      <c r="E83" s="228"/>
      <c r="F83" s="225"/>
      <c r="G83" s="255"/>
      <c r="H83" s="243"/>
      <c r="I83" s="234"/>
      <c r="J83" s="237"/>
      <c r="K83" s="240">
        <f ca="1">IF(NOT(ISERROR(MATCH(J83,_xlfn.ANCHORARRAY(E93),0))),I95&amp;"Por favor no seleccionar los criterios de impacto",J83)</f>
        <v>0</v>
      </c>
      <c r="L83" s="243"/>
      <c r="M83" s="234"/>
      <c r="N83" s="231"/>
      <c r="O83" s="138">
        <v>6</v>
      </c>
      <c r="P83" s="123"/>
      <c r="Q83" s="124" t="str">
        <f t="shared" si="81"/>
        <v/>
      </c>
      <c r="R83" s="125"/>
      <c r="S83" s="125"/>
      <c r="T83" s="126" t="str">
        <f t="shared" si="76"/>
        <v/>
      </c>
      <c r="U83" s="125"/>
      <c r="V83" s="125"/>
      <c r="W83" s="125"/>
      <c r="X83" s="127" t="str">
        <f t="shared" si="82"/>
        <v/>
      </c>
      <c r="Y83" s="128" t="str">
        <f t="shared" si="77"/>
        <v/>
      </c>
      <c r="Z83" s="129" t="str">
        <f t="shared" si="78"/>
        <v/>
      </c>
      <c r="AA83" s="128" t="str">
        <f t="shared" si="79"/>
        <v/>
      </c>
      <c r="AB83" s="137" t="str">
        <f t="shared" si="83"/>
        <v/>
      </c>
      <c r="AC83" s="130" t="str">
        <f t="shared" si="80"/>
        <v/>
      </c>
      <c r="AD83" s="131"/>
      <c r="AE83" s="132"/>
      <c r="AF83" s="133"/>
      <c r="AG83" s="134"/>
      <c r="AH83" s="134"/>
      <c r="AI83" s="132"/>
      <c r="AJ83" s="133"/>
    </row>
    <row r="85" spans="1:36" x14ac:dyDescent="0.3">
      <c r="A85" s="290" t="s">
        <v>222</v>
      </c>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2"/>
    </row>
    <row r="86" spans="1:36" x14ac:dyDescent="0.3">
      <c r="A86" s="293"/>
      <c r="B86" s="294"/>
      <c r="C86" s="294"/>
      <c r="D86" s="294"/>
      <c r="E86" s="294"/>
      <c r="F86" s="294"/>
      <c r="G86" s="294"/>
      <c r="H86" s="294"/>
      <c r="I86" s="294"/>
      <c r="J86" s="294"/>
      <c r="K86" s="294"/>
      <c r="L86" s="294"/>
      <c r="M86" s="294"/>
      <c r="N86" s="294"/>
      <c r="O86" s="294"/>
      <c r="P86" s="294"/>
      <c r="Q86" s="294"/>
      <c r="R86" s="294"/>
      <c r="S86" s="294"/>
      <c r="T86" s="294"/>
      <c r="U86" s="294"/>
      <c r="V86" s="294"/>
      <c r="W86" s="294"/>
      <c r="X86" s="294"/>
      <c r="Y86" s="294"/>
      <c r="Z86" s="294"/>
      <c r="AA86" s="294"/>
      <c r="AB86" s="294"/>
      <c r="AC86" s="294"/>
      <c r="AD86" s="294"/>
      <c r="AE86" s="294"/>
      <c r="AF86" s="294"/>
      <c r="AG86" s="294"/>
      <c r="AH86" s="294"/>
      <c r="AI86" s="294"/>
      <c r="AJ86" s="295"/>
    </row>
    <row r="87" spans="1:36" ht="23.25" x14ac:dyDescent="0.3">
      <c r="A87" s="256" t="s">
        <v>43</v>
      </c>
      <c r="B87" s="257"/>
      <c r="C87" s="263" t="s">
        <v>231</v>
      </c>
      <c r="D87" s="264"/>
      <c r="E87" s="264"/>
      <c r="F87" s="264"/>
      <c r="G87" s="264"/>
      <c r="H87" s="264"/>
      <c r="I87" s="264"/>
      <c r="J87" s="264"/>
      <c r="K87" s="264"/>
      <c r="L87" s="264"/>
      <c r="M87" s="264"/>
      <c r="N87" s="265"/>
      <c r="O87" s="296"/>
      <c r="P87" s="296"/>
      <c r="Q87" s="296"/>
      <c r="R87" s="7"/>
      <c r="S87" s="7"/>
      <c r="T87" s="7"/>
      <c r="U87" s="7"/>
      <c r="V87" s="7"/>
      <c r="W87" s="7"/>
      <c r="X87" s="7"/>
      <c r="Y87" s="7"/>
      <c r="Z87" s="7"/>
      <c r="AA87" s="7"/>
      <c r="AB87" s="7"/>
      <c r="AC87" s="7"/>
      <c r="AD87" s="7"/>
      <c r="AE87" s="7"/>
      <c r="AF87" s="7"/>
      <c r="AG87" s="7"/>
      <c r="AH87" s="7"/>
      <c r="AI87" s="7"/>
      <c r="AJ87" s="7"/>
    </row>
    <row r="88" spans="1:36" ht="50.25" customHeight="1" x14ac:dyDescent="0.3">
      <c r="A88" s="256" t="s">
        <v>130</v>
      </c>
      <c r="B88" s="257"/>
      <c r="C88" s="300" t="s">
        <v>232</v>
      </c>
      <c r="D88" s="301"/>
      <c r="E88" s="301"/>
      <c r="F88" s="301"/>
      <c r="G88" s="301"/>
      <c r="H88" s="301"/>
      <c r="I88" s="301"/>
      <c r="J88" s="301"/>
      <c r="K88" s="301"/>
      <c r="L88" s="301"/>
      <c r="M88" s="301"/>
      <c r="N88" s="302"/>
      <c r="O88" s="24"/>
      <c r="P88" s="7"/>
      <c r="Q88" s="7"/>
      <c r="R88" s="7"/>
      <c r="S88" s="7"/>
      <c r="T88" s="7"/>
      <c r="U88" s="7"/>
      <c r="V88" s="7"/>
      <c r="W88" s="7"/>
      <c r="X88" s="7"/>
      <c r="Y88" s="7"/>
      <c r="Z88" s="7"/>
      <c r="AA88" s="7"/>
      <c r="AB88" s="7"/>
      <c r="AC88" s="7"/>
      <c r="AD88" s="7"/>
      <c r="AE88" s="7"/>
      <c r="AF88" s="7"/>
      <c r="AG88" s="7"/>
      <c r="AH88" s="7"/>
      <c r="AI88" s="7"/>
      <c r="AJ88" s="7"/>
    </row>
    <row r="89" spans="1:36" ht="50.25" customHeight="1" x14ac:dyDescent="0.3">
      <c r="A89" s="256" t="s">
        <v>44</v>
      </c>
      <c r="B89" s="257"/>
      <c r="C89" s="303" t="s">
        <v>233</v>
      </c>
      <c r="D89" s="304"/>
      <c r="E89" s="304"/>
      <c r="F89" s="304"/>
      <c r="G89" s="304"/>
      <c r="H89" s="304"/>
      <c r="I89" s="304"/>
      <c r="J89" s="304"/>
      <c r="K89" s="304"/>
      <c r="L89" s="304"/>
      <c r="M89" s="304"/>
      <c r="N89" s="305"/>
      <c r="O89" s="24"/>
      <c r="P89" s="7"/>
      <c r="Q89" s="7"/>
      <c r="R89" s="7"/>
      <c r="S89" s="7"/>
      <c r="T89" s="7"/>
      <c r="U89" s="7"/>
      <c r="V89" s="7"/>
      <c r="W89" s="7"/>
      <c r="X89" s="7"/>
      <c r="Y89" s="7"/>
      <c r="Z89" s="7"/>
      <c r="AA89" s="7"/>
      <c r="AB89" s="7"/>
      <c r="AC89" s="7"/>
      <c r="AD89" s="7"/>
      <c r="AE89" s="7"/>
      <c r="AF89" s="7"/>
      <c r="AG89" s="7"/>
      <c r="AH89" s="7"/>
      <c r="AI89" s="7"/>
      <c r="AJ89" s="7"/>
    </row>
    <row r="90" spans="1:36" x14ac:dyDescent="0.3">
      <c r="A90" s="297" t="s">
        <v>138</v>
      </c>
      <c r="B90" s="298"/>
      <c r="C90" s="298"/>
      <c r="D90" s="298"/>
      <c r="E90" s="298"/>
      <c r="F90" s="298"/>
      <c r="G90" s="299"/>
      <c r="H90" s="297" t="s">
        <v>139</v>
      </c>
      <c r="I90" s="298"/>
      <c r="J90" s="298"/>
      <c r="K90" s="298"/>
      <c r="L90" s="298"/>
      <c r="M90" s="298"/>
      <c r="N90" s="299"/>
      <c r="O90" s="297" t="s">
        <v>140</v>
      </c>
      <c r="P90" s="298"/>
      <c r="Q90" s="298"/>
      <c r="R90" s="298"/>
      <c r="S90" s="298"/>
      <c r="T90" s="298"/>
      <c r="U90" s="298"/>
      <c r="V90" s="298"/>
      <c r="W90" s="299"/>
      <c r="X90" s="297" t="s">
        <v>141</v>
      </c>
      <c r="Y90" s="298"/>
      <c r="Z90" s="298"/>
      <c r="AA90" s="298"/>
      <c r="AB90" s="298"/>
      <c r="AC90" s="298"/>
      <c r="AD90" s="299"/>
      <c r="AE90" s="297" t="s">
        <v>34</v>
      </c>
      <c r="AF90" s="298"/>
      <c r="AG90" s="298"/>
      <c r="AH90" s="298"/>
      <c r="AI90" s="298"/>
      <c r="AJ90" s="299"/>
    </row>
    <row r="91" spans="1:36" x14ac:dyDescent="0.3">
      <c r="A91" s="258" t="s">
        <v>0</v>
      </c>
      <c r="B91" s="251" t="s">
        <v>2</v>
      </c>
      <c r="C91" s="245" t="s">
        <v>3</v>
      </c>
      <c r="D91" s="245" t="s">
        <v>42</v>
      </c>
      <c r="E91" s="260" t="s">
        <v>1</v>
      </c>
      <c r="F91" s="252" t="s">
        <v>50</v>
      </c>
      <c r="G91" s="245" t="s">
        <v>134</v>
      </c>
      <c r="H91" s="247" t="s">
        <v>33</v>
      </c>
      <c r="I91" s="248" t="s">
        <v>5</v>
      </c>
      <c r="J91" s="252" t="s">
        <v>87</v>
      </c>
      <c r="K91" s="252" t="s">
        <v>92</v>
      </c>
      <c r="L91" s="250" t="s">
        <v>45</v>
      </c>
      <c r="M91" s="248" t="s">
        <v>5</v>
      </c>
      <c r="N91" s="245" t="s">
        <v>48</v>
      </c>
      <c r="O91" s="261" t="s">
        <v>11</v>
      </c>
      <c r="P91" s="246" t="s">
        <v>160</v>
      </c>
      <c r="Q91" s="252" t="s">
        <v>12</v>
      </c>
      <c r="R91" s="246" t="s">
        <v>8</v>
      </c>
      <c r="S91" s="246"/>
      <c r="T91" s="246"/>
      <c r="U91" s="246"/>
      <c r="V91" s="246"/>
      <c r="W91" s="246"/>
      <c r="X91" s="244" t="s">
        <v>137</v>
      </c>
      <c r="Y91" s="244" t="s">
        <v>46</v>
      </c>
      <c r="Z91" s="244" t="s">
        <v>5</v>
      </c>
      <c r="AA91" s="244" t="s">
        <v>47</v>
      </c>
      <c r="AB91" s="244" t="s">
        <v>5</v>
      </c>
      <c r="AC91" s="244" t="s">
        <v>49</v>
      </c>
      <c r="AD91" s="261" t="s">
        <v>29</v>
      </c>
      <c r="AE91" s="246" t="s">
        <v>34</v>
      </c>
      <c r="AF91" s="246" t="s">
        <v>35</v>
      </c>
      <c r="AG91" s="246" t="s">
        <v>36</v>
      </c>
      <c r="AH91" s="246" t="s">
        <v>38</v>
      </c>
      <c r="AI91" s="246" t="s">
        <v>37</v>
      </c>
      <c r="AJ91" s="246" t="s">
        <v>39</v>
      </c>
    </row>
    <row r="92" spans="1:36" ht="78.75" x14ac:dyDescent="0.3">
      <c r="A92" s="259"/>
      <c r="B92" s="251"/>
      <c r="C92" s="246"/>
      <c r="D92" s="246"/>
      <c r="E92" s="251"/>
      <c r="F92" s="245"/>
      <c r="G92" s="246"/>
      <c r="H92" s="245"/>
      <c r="I92" s="249"/>
      <c r="J92" s="245"/>
      <c r="K92" s="245"/>
      <c r="L92" s="249"/>
      <c r="M92" s="249"/>
      <c r="N92" s="246"/>
      <c r="O92" s="262"/>
      <c r="P92" s="246"/>
      <c r="Q92" s="245"/>
      <c r="R92" s="6" t="s">
        <v>13</v>
      </c>
      <c r="S92" s="6" t="s">
        <v>17</v>
      </c>
      <c r="T92" s="6" t="s">
        <v>28</v>
      </c>
      <c r="U92" s="6" t="s">
        <v>18</v>
      </c>
      <c r="V92" s="6" t="s">
        <v>21</v>
      </c>
      <c r="W92" s="6" t="s">
        <v>24</v>
      </c>
      <c r="X92" s="244"/>
      <c r="Y92" s="244"/>
      <c r="Z92" s="244"/>
      <c r="AA92" s="244"/>
      <c r="AB92" s="244"/>
      <c r="AC92" s="244"/>
      <c r="AD92" s="262"/>
      <c r="AE92" s="246"/>
      <c r="AF92" s="246"/>
      <c r="AG92" s="246"/>
      <c r="AH92" s="246"/>
      <c r="AI92" s="246"/>
      <c r="AJ92" s="246"/>
    </row>
    <row r="93" spans="1:36" x14ac:dyDescent="0.3">
      <c r="A93" s="210">
        <v>1</v>
      </c>
      <c r="B93" s="223" t="s">
        <v>131</v>
      </c>
      <c r="C93" s="306" t="s">
        <v>234</v>
      </c>
      <c r="D93" s="223" t="s">
        <v>235</v>
      </c>
      <c r="E93" s="309" t="s">
        <v>236</v>
      </c>
      <c r="F93" s="223" t="s">
        <v>123</v>
      </c>
      <c r="G93" s="253">
        <v>1</v>
      </c>
      <c r="H93" s="241" t="str">
        <f>IF(G93&lt;=0,"",IF(G93&lt;=2,"Muy Baja",IF(G93&lt;=24,"Baja",IF(G93&lt;=500,"Media",IF(G93&lt;=5000,"Alta","Muy Alta")))))</f>
        <v>Muy Baja</v>
      </c>
      <c r="I93" s="232">
        <f>IF(H93="","",IF(H93="Muy Baja",0.2,IF(H93="Baja",0.4,IF(H93="Media",0.6,IF(H93="Alta",0.8,IF(H93="Muy Alta",1,))))))</f>
        <v>0.2</v>
      </c>
      <c r="J93" s="235" t="s">
        <v>150</v>
      </c>
      <c r="K93" s="232" t="str">
        <f>IF(NOT(ISERROR(MATCH(J93,'[2]Tabla Impacto'!$B$221:$B$223,0))),'[2]Tabla Impacto'!$F$223&amp;"Por favor no seleccionar los criterios de impacto(Afectación Económica o presupuestal y Pérdida Reputacional)",J93)</f>
        <v xml:space="preserve">     El riesgo afecta la imagen de alguna área de la organización</v>
      </c>
      <c r="L93" s="241" t="str">
        <f>IF(OR(K93='[2]Tabla Impacto'!$C$11,K93='[2]Tabla Impacto'!$D$11),"Leve",IF(OR(K93='[2]Tabla Impacto'!$C$12,K93='[2]Tabla Impacto'!$D$12),"Menor",IF(OR(K93='[2]Tabla Impacto'!$C$13,K93='[2]Tabla Impacto'!$D$13),"Moderado",IF(OR(K93='[2]Tabla Impacto'!$C$14,K93='[2]Tabla Impacto'!$D$14),"Mayor",IF(OR(K93='[2]Tabla Impacto'!$C$15,K93='[2]Tabla Impacto'!$D$15),"Catastrófico","")))))</f>
        <v>Leve</v>
      </c>
      <c r="M93" s="232">
        <f>IF(L93="","",IF(L93="Leve",0.2,IF(L93="Menor",0.4,IF(L93="Moderado",0.6,IF(L93="Mayor",0.8,IF(L93="Catastrófico",1,))))))</f>
        <v>0.2</v>
      </c>
      <c r="N93" s="229" t="str">
        <f>IF(OR(AND(H93="Muy Baja",L93="Leve"),AND(H93="Muy Baja",L93="Menor"),AND(H93="Baja",L93="Leve")),"Bajo",IF(OR(AND(H93="Muy baja",L93="Moderado"),AND(H93="Baja",L93="Menor"),AND(H93="Baja",L93="Moderado"),AND(H93="Media",L93="Leve"),AND(H93="Media",L93="Menor"),AND(H93="Media",L93="Moderado"),AND(H93="Alta",L93="Leve"),AND(H93="Alta",L93="Menor")),"Moderado",IF(OR(AND(H93="Muy Baja",L93="Mayor"),AND(H93="Baja",L93="Mayor"),AND(H93="Media",L93="Mayor"),AND(H93="Alta",L93="Moderado"),AND(H93="Alta",L93="Mayor"),AND(H93="Muy Alta",L93="Leve"),AND(H93="Muy Alta",L93="Menor"),AND(H93="Muy Alta",L93="Moderado"),AND(H93="Muy Alta",L93="Mayor")),"Alto",IF(OR(AND(H93="Muy Baja",L93="Catastrófico"),AND(H93="Baja",L93="Catastrófico"),AND(H93="Media",L93="Catastrófico"),AND(H93="Alta",L93="Catastrófico"),AND(H93="Muy Alta",L93="Catastrófico")),"Extremo",""))))</f>
        <v>Bajo</v>
      </c>
      <c r="O93" s="210">
        <v>1</v>
      </c>
      <c r="P93" s="306" t="s">
        <v>237</v>
      </c>
      <c r="Q93" s="220" t="str">
        <f>IF(OR(R93="Preventivo",R93="Detectivo"),"Probabilidad",IF(R93="Correctivo","Impacto",""))</f>
        <v>Probabilidad</v>
      </c>
      <c r="R93" s="202" t="s">
        <v>14</v>
      </c>
      <c r="S93" s="202" t="s">
        <v>9</v>
      </c>
      <c r="T93" s="200" t="str">
        <f>IF(AND(R93="Preventivo",S93="Automático"),"50%",IF(AND(R93="Preventivo",S93="Manual"),"40%",IF(AND(R93="Detectivo",S93="Automático"),"40%",IF(AND(R93="Detectivo",S93="Manual"),"30%",IF(AND(R93="Correctivo",S93="Automático"),"35%",IF(AND(R93="Correctivo",S93="Manual"),"25%",""))))))</f>
        <v>40%</v>
      </c>
      <c r="U93" s="202" t="s">
        <v>19</v>
      </c>
      <c r="V93" s="202" t="s">
        <v>22</v>
      </c>
      <c r="W93" s="202" t="s">
        <v>119</v>
      </c>
      <c r="X93" s="313">
        <f>IFERROR(IF(Q93="Probabilidad",(I93-(+I93*T93)),IF(Q93="Impacto",I93,"")),"")</f>
        <v>0.12</v>
      </c>
      <c r="Y93" s="204" t="str">
        <f>IFERROR(IF(X93="","",IF(X93&lt;=0.2,"Muy Baja",IF(X93&lt;=0.4,"Baja",IF(X93&lt;=0.6,"Media",IF(X93&lt;=0.8,"Alta","Muy Alta"))))),"")</f>
        <v>Muy Baja</v>
      </c>
      <c r="Z93" s="200">
        <f>+X93</f>
        <v>0.12</v>
      </c>
      <c r="AA93" s="204" t="str">
        <f>IFERROR(IF(AB93="","",IF(AB93&lt;=0.2,"Leve",IF(AB93&lt;=0.4,"Menor",IF(AB93&lt;=0.6,"Moderado",IF(AB93&lt;=0.8,"Mayor","Catastrófico"))))),"")</f>
        <v>Leve</v>
      </c>
      <c r="AB93" s="200">
        <f>IFERROR(IF(Q93="Impacto",(M93-(+M93*T93)),IF(Q93="Probabilidad",M93,"")),"")</f>
        <v>0.2</v>
      </c>
      <c r="AC93" s="208" t="str">
        <f>IFERROR(IF(OR(AND(Y93="Muy Baja",AA93="Leve"),AND(Y93="Muy Baja",AA93="Menor"),AND(Y93="Baja",AA93="Leve")),"Bajo",IF(OR(AND(Y93="Muy baja",AA93="Moderado"),AND(Y93="Baja",AA93="Menor"),AND(Y93="Baja",AA93="Moderado"),AND(Y93="Media",AA93="Leve"),AND(Y93="Media",AA93="Menor"),AND(Y93="Media",AA93="Moderado"),AND(Y93="Alta",AA93="Leve"),AND(Y93="Alta",AA93="Menor")),"Moderado",IF(OR(AND(Y93="Muy Baja",AA93="Mayor"),AND(Y93="Baja",AA93="Mayor"),AND(Y93="Media",AA93="Mayor"),AND(Y93="Alta",AA93="Moderado"),AND(Y93="Alta",AA93="Mayor"),AND(Y93="Muy Alta",AA93="Leve"),AND(Y93="Muy Alta",AA93="Menor"),AND(Y93="Muy Alta",AA93="Moderado"),AND(Y93="Muy Alta",AA93="Mayor")),"Alto",IF(OR(AND(Y93="Muy Baja",AA93="Catastrófico"),AND(Y93="Baja",AA93="Catastrófico"),AND(Y93="Media",AA93="Catastrófico"),AND(Y93="Alta",AA93="Catastrófico"),AND(Y93="Muy Alta",AA93="Catastrófico")),"Extremo","")))),"")</f>
        <v>Bajo</v>
      </c>
      <c r="AD93" s="202" t="s">
        <v>32</v>
      </c>
      <c r="AE93" s="212"/>
      <c r="AF93" s="214"/>
      <c r="AG93" s="216"/>
      <c r="AH93" s="216"/>
      <c r="AI93" s="212"/>
      <c r="AJ93" s="214"/>
    </row>
    <row r="94" spans="1:36" ht="96" customHeight="1" x14ac:dyDescent="0.3">
      <c r="A94" s="222"/>
      <c r="B94" s="224"/>
      <c r="C94" s="307"/>
      <c r="D94" s="224"/>
      <c r="E94" s="310"/>
      <c r="F94" s="224"/>
      <c r="G94" s="254"/>
      <c r="H94" s="242"/>
      <c r="I94" s="233"/>
      <c r="J94" s="236"/>
      <c r="K94" s="233">
        <f ca="1">IF(NOT(ISERROR(MATCH(J94,_xlfn.ANCHORARRAY(#REF!),0))),#REF!&amp;"Por favor no seleccionar los criterios de impacto",J94)</f>
        <v>0</v>
      </c>
      <c r="L94" s="242"/>
      <c r="M94" s="233"/>
      <c r="N94" s="230"/>
      <c r="O94" s="211"/>
      <c r="P94" s="308"/>
      <c r="Q94" s="221"/>
      <c r="R94" s="203"/>
      <c r="S94" s="203"/>
      <c r="T94" s="201"/>
      <c r="U94" s="203"/>
      <c r="V94" s="203"/>
      <c r="W94" s="203"/>
      <c r="X94" s="314"/>
      <c r="Y94" s="205"/>
      <c r="Z94" s="201"/>
      <c r="AA94" s="205"/>
      <c r="AB94" s="201"/>
      <c r="AC94" s="209"/>
      <c r="AD94" s="203"/>
      <c r="AE94" s="213"/>
      <c r="AF94" s="215"/>
      <c r="AG94" s="217"/>
      <c r="AH94" s="217"/>
      <c r="AI94" s="213"/>
      <c r="AJ94" s="215"/>
    </row>
    <row r="95" spans="1:36" hidden="1" x14ac:dyDescent="0.3">
      <c r="A95" s="222"/>
      <c r="B95" s="224"/>
      <c r="C95" s="307"/>
      <c r="D95" s="224"/>
      <c r="E95" s="310"/>
      <c r="F95" s="224"/>
      <c r="G95" s="254"/>
      <c r="H95" s="242"/>
      <c r="I95" s="233"/>
      <c r="J95" s="236"/>
      <c r="K95" s="233">
        <f ca="1">IF(NOT(ISERROR(MATCH(J95,_xlfn.ANCHORARRAY(#REF!),0))),#REF!&amp;"Por favor no seleccionar los criterios de impacto",J95)</f>
        <v>0</v>
      </c>
      <c r="L95" s="242"/>
      <c r="M95" s="233"/>
      <c r="N95" s="230"/>
      <c r="O95" s="138">
        <v>3</v>
      </c>
      <c r="P95" s="135"/>
      <c r="Q95" s="124" t="str">
        <f>IF(OR(R95="Preventivo",R95="Detectivo"),"Probabilidad",IF(R95="Correctivo","Impacto",""))</f>
        <v/>
      </c>
      <c r="R95" s="125"/>
      <c r="S95" s="125"/>
      <c r="T95" s="126" t="str">
        <f t="shared" ref="T95:T98" si="84">IF(AND(R95="Preventivo",S95="Automático"),"50%",IF(AND(R95="Preventivo",S95="Manual"),"40%",IF(AND(R95="Detectivo",S95="Automático"),"40%",IF(AND(R95="Detectivo",S95="Manual"),"30%",IF(AND(R95="Correctivo",S95="Automático"),"35%",IF(AND(R95="Correctivo",S95="Manual"),"25%",""))))))</f>
        <v/>
      </c>
      <c r="U95" s="125"/>
      <c r="V95" s="125"/>
      <c r="W95" s="125"/>
      <c r="X95" s="127" t="str">
        <f>IFERROR(IF(AND(Q94="Probabilidad",Q95="Probabilidad"),(Z94-(+Z94*T95)),IF(AND(Q94="Impacto",Q95="Probabilidad"),(Z93-(+Z93*T95)),IF(Q95="Impacto",Z94,""))),"")</f>
        <v/>
      </c>
      <c r="Y95" s="128" t="str">
        <f t="shared" ref="Y95:Y105" si="85">IFERROR(IF(X95="","",IF(X95&lt;=0.2,"Muy Baja",IF(X95&lt;=0.4,"Baja",IF(X95&lt;=0.6,"Media",IF(X95&lt;=0.8,"Alta","Muy Alta"))))),"")</f>
        <v/>
      </c>
      <c r="Z95" s="129" t="str">
        <f t="shared" ref="Z95:Z98" si="86">+X95</f>
        <v/>
      </c>
      <c r="AA95" s="128" t="str">
        <f t="shared" ref="AA95:AA105" si="87">IFERROR(IF(AB95="","",IF(AB95&lt;=0.2,"Leve",IF(AB95&lt;=0.4,"Menor",IF(AB95&lt;=0.6,"Moderado",IF(AB95&lt;=0.8,"Mayor","Catastrófico"))))),"")</f>
        <v/>
      </c>
      <c r="AB95" s="137" t="str">
        <f>IFERROR(IF(AND(Q94="Impacto",Q95="Impacto"),(AB94-(+AB94*T95)),IF(AND(Q94="Probabilidad",Q95="Impacto"),(AB93-(+AB93*T95)),IF(Q95="Probabilidad",AB94,""))),"")</f>
        <v/>
      </c>
      <c r="AC95" s="130" t="str">
        <f t="shared" ref="AC95:AC98" si="88">IFERROR(IF(OR(AND(Y95="Muy Baja",AA95="Leve"),AND(Y95="Muy Baja",AA95="Menor"),AND(Y95="Baja",AA95="Leve")),"Bajo",IF(OR(AND(Y95="Muy baja",AA95="Moderado"),AND(Y95="Baja",AA95="Menor"),AND(Y95="Baja",AA95="Moderado"),AND(Y95="Media",AA95="Leve"),AND(Y95="Media",AA95="Menor"),AND(Y95="Media",AA95="Moderado"),AND(Y95="Alta",AA95="Leve"),AND(Y95="Alta",AA95="Menor")),"Moderado",IF(OR(AND(Y95="Muy Baja",AA95="Mayor"),AND(Y95="Baja",AA95="Mayor"),AND(Y95="Media",AA95="Mayor"),AND(Y95="Alta",AA95="Moderado"),AND(Y95="Alta",AA95="Mayor"),AND(Y95="Muy Alta",AA95="Leve"),AND(Y95="Muy Alta",AA95="Menor"),AND(Y95="Muy Alta",AA95="Moderado"),AND(Y95="Muy Alta",AA95="Mayor")),"Alto",IF(OR(AND(Y95="Muy Baja",AA95="Catastrófico"),AND(Y95="Baja",AA95="Catastrófico"),AND(Y95="Media",AA95="Catastrófico"),AND(Y95="Alta",AA95="Catastrófico"),AND(Y95="Muy Alta",AA95="Catastrófico")),"Extremo","")))),"")</f>
        <v/>
      </c>
      <c r="AD95" s="131"/>
      <c r="AE95" s="132"/>
      <c r="AF95" s="133"/>
      <c r="AG95" s="134"/>
      <c r="AH95" s="134"/>
      <c r="AI95" s="132"/>
      <c r="AJ95" s="133"/>
    </row>
    <row r="96" spans="1:36" hidden="1" x14ac:dyDescent="0.3">
      <c r="A96" s="222"/>
      <c r="B96" s="224"/>
      <c r="C96" s="307"/>
      <c r="D96" s="224"/>
      <c r="E96" s="310"/>
      <c r="F96" s="224"/>
      <c r="G96" s="254"/>
      <c r="H96" s="242"/>
      <c r="I96" s="233"/>
      <c r="J96" s="236"/>
      <c r="K96" s="233">
        <f ca="1">IF(NOT(ISERROR(MATCH(J96,_xlfn.ANCHORARRAY(#REF!),0))),#REF!&amp;"Por favor no seleccionar los criterios de impacto",J96)</f>
        <v>0</v>
      </c>
      <c r="L96" s="242"/>
      <c r="M96" s="233"/>
      <c r="N96" s="230"/>
      <c r="O96" s="138">
        <v>4</v>
      </c>
      <c r="P96" s="123"/>
      <c r="Q96" s="124" t="str">
        <f t="shared" ref="Q96:Q98" si="89">IF(OR(R96="Preventivo",R96="Detectivo"),"Probabilidad",IF(R96="Correctivo","Impacto",""))</f>
        <v/>
      </c>
      <c r="R96" s="125"/>
      <c r="S96" s="125"/>
      <c r="T96" s="126" t="str">
        <f t="shared" si="84"/>
        <v/>
      </c>
      <c r="U96" s="125"/>
      <c r="V96" s="125"/>
      <c r="W96" s="125"/>
      <c r="X96" s="127" t="str">
        <f t="shared" ref="X96:X98" si="90">IFERROR(IF(AND(Q95="Probabilidad",Q96="Probabilidad"),(Z95-(+Z95*T96)),IF(AND(Q95="Impacto",Q96="Probabilidad"),(Z94-(+Z94*T96)),IF(Q96="Impacto",Z95,""))),"")</f>
        <v/>
      </c>
      <c r="Y96" s="128" t="str">
        <f t="shared" si="85"/>
        <v/>
      </c>
      <c r="Z96" s="129" t="str">
        <f t="shared" si="86"/>
        <v/>
      </c>
      <c r="AA96" s="128" t="str">
        <f t="shared" si="87"/>
        <v/>
      </c>
      <c r="AB96" s="137" t="str">
        <f t="shared" ref="AB96:AB98" si="91">IFERROR(IF(AND(Q95="Impacto",Q96="Impacto"),(AB95-(+AB95*T96)),IF(AND(Q95="Probabilidad",Q96="Impacto"),(AB94-(+AB94*T96)),IF(Q96="Probabilidad",AB95,""))),"")</f>
        <v/>
      </c>
      <c r="AC96" s="130" t="str">
        <f>IFERROR(IF(OR(AND(Y96="Muy Baja",AA96="Leve"),AND(Y96="Muy Baja",AA96="Menor"),AND(Y96="Baja",AA96="Leve")),"Bajo",IF(OR(AND(Y96="Muy baja",AA96="Moderado"),AND(Y96="Baja",AA96="Menor"),AND(Y96="Baja",AA96="Moderado"),AND(Y96="Media",AA96="Leve"),AND(Y96="Media",AA96="Menor"),AND(Y96="Media",AA96="Moderado"),AND(Y96="Alta",AA96="Leve"),AND(Y96="Alta",AA96="Menor")),"Moderado",IF(OR(AND(Y96="Muy Baja",AA96="Mayor"),AND(Y96="Baja",AA96="Mayor"),AND(Y96="Media",AA96="Mayor"),AND(Y96="Alta",AA96="Moderado"),AND(Y96="Alta",AA96="Mayor"),AND(Y96="Muy Alta",AA96="Leve"),AND(Y96="Muy Alta",AA96="Menor"),AND(Y96="Muy Alta",AA96="Moderado"),AND(Y96="Muy Alta",AA96="Mayor")),"Alto",IF(OR(AND(Y96="Muy Baja",AA96="Catastrófico"),AND(Y96="Baja",AA96="Catastrófico"),AND(Y96="Media",AA96="Catastrófico"),AND(Y96="Alta",AA96="Catastrófico"),AND(Y96="Muy Alta",AA96="Catastrófico")),"Extremo","")))),"")</f>
        <v/>
      </c>
      <c r="AD96" s="131"/>
      <c r="AE96" s="132"/>
      <c r="AF96" s="133"/>
      <c r="AG96" s="134"/>
      <c r="AH96" s="134"/>
      <c r="AI96" s="132"/>
      <c r="AJ96" s="133"/>
    </row>
    <row r="97" spans="1:36" hidden="1" x14ac:dyDescent="0.3">
      <c r="A97" s="222"/>
      <c r="B97" s="224"/>
      <c r="C97" s="307"/>
      <c r="D97" s="224"/>
      <c r="E97" s="310"/>
      <c r="F97" s="224"/>
      <c r="G97" s="254"/>
      <c r="H97" s="242"/>
      <c r="I97" s="233"/>
      <c r="J97" s="236"/>
      <c r="K97" s="233">
        <f ca="1">IF(NOT(ISERROR(MATCH(J97,_xlfn.ANCHORARRAY(#REF!),0))),#REF!&amp;"Por favor no seleccionar los criterios de impacto",J97)</f>
        <v>0</v>
      </c>
      <c r="L97" s="242"/>
      <c r="M97" s="233"/>
      <c r="N97" s="230"/>
      <c r="O97" s="138">
        <v>5</v>
      </c>
      <c r="P97" s="123"/>
      <c r="Q97" s="124" t="str">
        <f t="shared" si="89"/>
        <v/>
      </c>
      <c r="R97" s="125"/>
      <c r="S97" s="125"/>
      <c r="T97" s="126" t="str">
        <f t="shared" si="84"/>
        <v/>
      </c>
      <c r="U97" s="125"/>
      <c r="V97" s="125"/>
      <c r="W97" s="125"/>
      <c r="X97" s="127" t="str">
        <f t="shared" si="90"/>
        <v/>
      </c>
      <c r="Y97" s="128" t="str">
        <f t="shared" si="85"/>
        <v/>
      </c>
      <c r="Z97" s="129" t="str">
        <f t="shared" si="86"/>
        <v/>
      </c>
      <c r="AA97" s="128" t="str">
        <f t="shared" si="87"/>
        <v/>
      </c>
      <c r="AB97" s="137" t="str">
        <f t="shared" si="91"/>
        <v/>
      </c>
      <c r="AC97" s="130" t="str">
        <f t="shared" si="88"/>
        <v/>
      </c>
      <c r="AD97" s="131"/>
      <c r="AE97" s="132"/>
      <c r="AF97" s="133"/>
      <c r="AG97" s="134"/>
      <c r="AH97" s="134"/>
      <c r="AI97" s="132"/>
      <c r="AJ97" s="133"/>
    </row>
    <row r="98" spans="1:36" hidden="1" x14ac:dyDescent="0.3">
      <c r="A98" s="211"/>
      <c r="B98" s="225"/>
      <c r="C98" s="308"/>
      <c r="D98" s="225"/>
      <c r="E98" s="311"/>
      <c r="F98" s="225"/>
      <c r="G98" s="255"/>
      <c r="H98" s="243"/>
      <c r="I98" s="234"/>
      <c r="J98" s="237"/>
      <c r="K98" s="234">
        <f ca="1">IF(NOT(ISERROR(MATCH(J98,_xlfn.ANCHORARRAY(#REF!),0))),#REF!&amp;"Por favor no seleccionar los criterios de impacto",J98)</f>
        <v>0</v>
      </c>
      <c r="L98" s="243"/>
      <c r="M98" s="234"/>
      <c r="N98" s="231"/>
      <c r="O98" s="138">
        <v>6</v>
      </c>
      <c r="P98" s="123"/>
      <c r="Q98" s="124" t="str">
        <f t="shared" si="89"/>
        <v/>
      </c>
      <c r="R98" s="125"/>
      <c r="S98" s="125"/>
      <c r="T98" s="126" t="str">
        <f t="shared" si="84"/>
        <v/>
      </c>
      <c r="U98" s="125"/>
      <c r="V98" s="125"/>
      <c r="W98" s="125"/>
      <c r="X98" s="127" t="str">
        <f t="shared" si="90"/>
        <v/>
      </c>
      <c r="Y98" s="128" t="str">
        <f t="shared" si="85"/>
        <v/>
      </c>
      <c r="Z98" s="129" t="str">
        <f t="shared" si="86"/>
        <v/>
      </c>
      <c r="AA98" s="128" t="str">
        <f t="shared" si="87"/>
        <v/>
      </c>
      <c r="AB98" s="137" t="str">
        <f t="shared" si="91"/>
        <v/>
      </c>
      <c r="AC98" s="130" t="str">
        <f t="shared" si="88"/>
        <v/>
      </c>
      <c r="AD98" s="131"/>
      <c r="AE98" s="132"/>
      <c r="AF98" s="133"/>
      <c r="AG98" s="134"/>
      <c r="AH98" s="134"/>
      <c r="AI98" s="132"/>
      <c r="AJ98" s="133"/>
    </row>
    <row r="99" spans="1:36" x14ac:dyDescent="0.3">
      <c r="A99" s="210">
        <v>2</v>
      </c>
      <c r="B99" s="223" t="s">
        <v>133</v>
      </c>
      <c r="C99" s="306" t="s">
        <v>238</v>
      </c>
      <c r="D99" s="223" t="s">
        <v>235</v>
      </c>
      <c r="E99" s="309" t="s">
        <v>239</v>
      </c>
      <c r="F99" s="223" t="s">
        <v>240</v>
      </c>
      <c r="G99" s="253">
        <v>1</v>
      </c>
      <c r="H99" s="241" t="str">
        <f>IF(G99&lt;=0,"",IF(G99&lt;=2,"Muy Baja",IF(G99&lt;=24,"Baja",IF(G99&lt;=500,"Media",IF(G99&lt;=5000,"Alta","Muy Alta")))))</f>
        <v>Muy Baja</v>
      </c>
      <c r="I99" s="232">
        <f>IF(H99="","",IF(H99="Muy Baja",0.2,IF(H99="Baja",0.4,IF(H99="Media",0.6,IF(H99="Alta",0.8,IF(H99="Muy Alta",1,))))))</f>
        <v>0.2</v>
      </c>
      <c r="J99" s="235" t="s">
        <v>143</v>
      </c>
      <c r="K99" s="232" t="str">
        <f>IF(NOT(ISERROR(MATCH(J99,'[2]Tabla Impacto'!$B$221:$B$223,0))),'[2]Tabla Impacto'!$F$223&amp;"Por favor no seleccionar los criterios de impacto(Afectación Económica o presupuestal y Pérdida Reputacional)",J99)</f>
        <v xml:space="preserve">     Afectación menor a 10 SMLMV .</v>
      </c>
      <c r="L99" s="241" t="str">
        <f>IF(OR(K99='[2]Tabla Impacto'!$C$11,K99='[2]Tabla Impacto'!$D$11),"Leve",IF(OR(K99='[2]Tabla Impacto'!$C$12,K99='[2]Tabla Impacto'!$D$12),"Menor",IF(OR(K99='[2]Tabla Impacto'!$C$13,K99='[2]Tabla Impacto'!$D$13),"Moderado",IF(OR(K99='[2]Tabla Impacto'!$C$14,K99='[2]Tabla Impacto'!$D$14),"Mayor",IF(OR(K99='[2]Tabla Impacto'!$C$15,K99='[2]Tabla Impacto'!$D$15),"Catastrófico","")))))</f>
        <v>Leve</v>
      </c>
      <c r="M99" s="232">
        <f>IF(L99="","",IF(L99="Leve",0.2,IF(L99="Menor",0.4,IF(L99="Moderado",0.6,IF(L99="Mayor",0.8,IF(L99="Catastrófico",1,))))))</f>
        <v>0.2</v>
      </c>
      <c r="N99" s="229" t="str">
        <f>IF(OR(AND(H99="Muy Baja",L99="Leve"),AND(H99="Muy Baja",L99="Menor"),AND(H99="Baja",L99="Leve")),"Bajo",IF(OR(AND(H99="Muy baja",L99="Moderado"),AND(H99="Baja",L99="Menor"),AND(H99="Baja",L99="Moderado"),AND(H99="Media",L99="Leve"),AND(H99="Media",L99="Menor"),AND(H99="Media",L99="Moderado"),AND(H99="Alta",L99="Leve"),AND(H99="Alta",L99="Menor")),"Moderado",IF(OR(AND(H99="Muy Baja",L99="Mayor"),AND(H99="Baja",L99="Mayor"),AND(H99="Media",L99="Mayor"),AND(H99="Alta",L99="Moderado"),AND(H99="Alta",L99="Mayor"),AND(H99="Muy Alta",L99="Leve"),AND(H99="Muy Alta",L99="Menor"),AND(H99="Muy Alta",L99="Moderado"),AND(H99="Muy Alta",L99="Mayor")),"Alto",IF(OR(AND(H99="Muy Baja",L99="Catastrófico"),AND(H99="Baja",L99="Catastrófico"),AND(H99="Media",L99="Catastrófico"),AND(H99="Alta",L99="Catastrófico"),AND(H99="Muy Alta",L99="Catastrófico")),"Extremo",""))))</f>
        <v>Bajo</v>
      </c>
      <c r="O99" s="210">
        <v>1</v>
      </c>
      <c r="P99" s="306" t="s">
        <v>241</v>
      </c>
      <c r="Q99" s="220" t="str">
        <f>IF(OR(R99="Preventivo",R99="Detectivo"),"Probabilidad",IF(R99="Correctivo","Impacto",""))</f>
        <v>Probabilidad</v>
      </c>
      <c r="R99" s="202" t="s">
        <v>14</v>
      </c>
      <c r="S99" s="202" t="s">
        <v>9</v>
      </c>
      <c r="T99" s="200" t="str">
        <f>IF(AND(R99="Preventivo",S99="Automático"),"50%",IF(AND(R99="Preventivo",S99="Manual"),"40%",IF(AND(R99="Detectivo",S99="Automático"),"40%",IF(AND(R99="Detectivo",S99="Manual"),"30%",IF(AND(R99="Correctivo",S99="Automático"),"35%",IF(AND(R99="Correctivo",S99="Manual"),"25%",""))))))</f>
        <v>40%</v>
      </c>
      <c r="U99" s="202" t="s">
        <v>19</v>
      </c>
      <c r="V99" s="202" t="s">
        <v>22</v>
      </c>
      <c r="W99" s="202" t="s">
        <v>119</v>
      </c>
      <c r="X99" s="313">
        <f>IFERROR(IF(Q99="Probabilidad",(I99-(+I99*T99)),IF(Q99="Impacto",I99,"")),"")</f>
        <v>0.12</v>
      </c>
      <c r="Y99" s="204" t="str">
        <f>IFERROR(IF(X99="","",IF(X99&lt;=0.2,"Muy Baja",IF(X99&lt;=0.4,"Baja",IF(X99&lt;=0.6,"Media",IF(X99&lt;=0.8,"Alta","Muy Alta"))))),"")</f>
        <v>Muy Baja</v>
      </c>
      <c r="Z99" s="200">
        <f>+X99</f>
        <v>0.12</v>
      </c>
      <c r="AA99" s="204" t="str">
        <f>IFERROR(IF(AB99="","",IF(AB99&lt;=0.2,"Leve",IF(AB99&lt;=0.4,"Menor",IF(AB99&lt;=0.6,"Moderado",IF(AB99&lt;=0.8,"Mayor","Catastrófico"))))),"")</f>
        <v>Leve</v>
      </c>
      <c r="AB99" s="206">
        <f>IFERROR(IF(Q99="Impacto",(M99-(+M99*T99)),IF(Q99="Probabilidad",M99,"")),"")</f>
        <v>0.2</v>
      </c>
      <c r="AC99" s="208" t="str">
        <f>IFERROR(IF(OR(AND(Y99="Muy Baja",AA99="Leve"),AND(Y99="Muy Baja",AA99="Menor"),AND(Y99="Baja",AA99="Leve")),"Bajo",IF(OR(AND(Y99="Muy baja",AA99="Moderado"),AND(Y99="Baja",AA99="Menor"),AND(Y99="Baja",AA99="Moderado"),AND(Y99="Media",AA99="Leve"),AND(Y99="Media",AA99="Menor"),AND(Y99="Media",AA99="Moderado"),AND(Y99="Alta",AA99="Leve"),AND(Y99="Alta",AA99="Menor")),"Moderado",IF(OR(AND(Y99="Muy Baja",AA99="Mayor"),AND(Y99="Baja",AA99="Mayor"),AND(Y99="Media",AA99="Mayor"),AND(Y99="Alta",AA99="Moderado"),AND(Y99="Alta",AA99="Mayor"),AND(Y99="Muy Alta",AA99="Leve"),AND(Y99="Muy Alta",AA99="Menor"),AND(Y99="Muy Alta",AA99="Moderado"),AND(Y99="Muy Alta",AA99="Mayor")),"Alto",IF(OR(AND(Y99="Muy Baja",AA99="Catastrófico"),AND(Y99="Baja",AA99="Catastrófico"),AND(Y99="Media",AA99="Catastrófico"),AND(Y99="Alta",AA99="Catastrófico"),AND(Y99="Muy Alta",AA99="Catastrófico")),"Extremo","")))),"")</f>
        <v>Bajo</v>
      </c>
      <c r="AD99" s="202" t="s">
        <v>32</v>
      </c>
      <c r="AE99" s="212"/>
      <c r="AF99" s="214"/>
      <c r="AG99" s="216"/>
      <c r="AH99" s="216"/>
      <c r="AI99" s="212"/>
      <c r="AJ99" s="214"/>
    </row>
    <row r="100" spans="1:36" x14ac:dyDescent="0.3">
      <c r="A100" s="222"/>
      <c r="B100" s="224"/>
      <c r="C100" s="307"/>
      <c r="D100" s="224"/>
      <c r="E100" s="310"/>
      <c r="F100" s="224"/>
      <c r="G100" s="254"/>
      <c r="H100" s="242"/>
      <c r="I100" s="233"/>
      <c r="J100" s="236"/>
      <c r="K100" s="233"/>
      <c r="L100" s="242"/>
      <c r="M100" s="233"/>
      <c r="N100" s="230"/>
      <c r="O100" s="222"/>
      <c r="P100" s="307"/>
      <c r="Q100" s="312"/>
      <c r="R100" s="318"/>
      <c r="S100" s="318"/>
      <c r="T100" s="320"/>
      <c r="U100" s="318"/>
      <c r="V100" s="318"/>
      <c r="W100" s="318"/>
      <c r="X100" s="321"/>
      <c r="Y100" s="315"/>
      <c r="Z100" s="320"/>
      <c r="AA100" s="315"/>
      <c r="AB100" s="316"/>
      <c r="AC100" s="317"/>
      <c r="AD100" s="318"/>
      <c r="AE100" s="275"/>
      <c r="AF100" s="279"/>
      <c r="AG100" s="319"/>
      <c r="AH100" s="319"/>
      <c r="AI100" s="275"/>
      <c r="AJ100" s="279"/>
    </row>
    <row r="101" spans="1:36" ht="62.25" customHeight="1" x14ac:dyDescent="0.3">
      <c r="A101" s="222"/>
      <c r="B101" s="224"/>
      <c r="C101" s="307"/>
      <c r="D101" s="224"/>
      <c r="E101" s="310"/>
      <c r="F101" s="224"/>
      <c r="G101" s="254"/>
      <c r="H101" s="242"/>
      <c r="I101" s="233"/>
      <c r="J101" s="236"/>
      <c r="K101" s="233">
        <f ca="1">IF(NOT(ISERROR(MATCH(J101,_xlfn.ANCHORARRAY(#REF!),0))),#REF!&amp;"Por favor no seleccionar los criterios de impacto",J101)</f>
        <v>0</v>
      </c>
      <c r="L101" s="242"/>
      <c r="M101" s="233"/>
      <c r="N101" s="230"/>
      <c r="O101" s="211"/>
      <c r="P101" s="308"/>
      <c r="Q101" s="221"/>
      <c r="R101" s="203"/>
      <c r="S101" s="203"/>
      <c r="T101" s="201"/>
      <c r="U101" s="203"/>
      <c r="V101" s="203"/>
      <c r="W101" s="203"/>
      <c r="X101" s="314"/>
      <c r="Y101" s="205"/>
      <c r="Z101" s="201"/>
      <c r="AA101" s="205"/>
      <c r="AB101" s="207"/>
      <c r="AC101" s="209"/>
      <c r="AD101" s="203"/>
      <c r="AE101" s="213"/>
      <c r="AF101" s="215"/>
      <c r="AG101" s="217"/>
      <c r="AH101" s="217"/>
      <c r="AI101" s="213"/>
      <c r="AJ101" s="215"/>
    </row>
    <row r="102" spans="1:36" hidden="1" x14ac:dyDescent="0.3">
      <c r="A102" s="222"/>
      <c r="B102" s="224"/>
      <c r="C102" s="307"/>
      <c r="D102" s="224"/>
      <c r="E102" s="310"/>
      <c r="F102" s="224"/>
      <c r="G102" s="254"/>
      <c r="H102" s="242"/>
      <c r="I102" s="233"/>
      <c r="J102" s="236"/>
      <c r="K102" s="233">
        <f ca="1">IF(NOT(ISERROR(MATCH(J102,_xlfn.ANCHORARRAY(#REF!),0))),#REF!&amp;"Por favor no seleccionar los criterios de impacto",J102)</f>
        <v>0</v>
      </c>
      <c r="L102" s="242"/>
      <c r="M102" s="233"/>
      <c r="N102" s="230"/>
      <c r="O102" s="138">
        <v>3</v>
      </c>
      <c r="P102" s="135"/>
      <c r="Q102" s="124" t="str">
        <f>IF(OR(R102="Preventivo",R102="Detectivo"),"Probabilidad",IF(R102="Correctivo","Impacto",""))</f>
        <v/>
      </c>
      <c r="R102" s="125"/>
      <c r="S102" s="125"/>
      <c r="T102" s="126" t="str">
        <f t="shared" ref="T102:T105" si="92">IF(AND(R102="Preventivo",S102="Automático"),"50%",IF(AND(R102="Preventivo",S102="Manual"),"40%",IF(AND(R102="Detectivo",S102="Automático"),"40%",IF(AND(R102="Detectivo",S102="Manual"),"30%",IF(AND(R102="Correctivo",S102="Automático"),"35%",IF(AND(R102="Correctivo",S102="Manual"),"25%",""))))))</f>
        <v/>
      </c>
      <c r="U102" s="125"/>
      <c r="V102" s="125"/>
      <c r="W102" s="125"/>
      <c r="X102" s="139" t="str">
        <f t="shared" ref="X102:X105" si="93">IFERROR(IF(Q102="Probabilidad",(I102-(+I102*T102)),IF(Q102="Impacto",I102,"")),"")</f>
        <v/>
      </c>
      <c r="Y102" s="128" t="str">
        <f t="shared" si="85"/>
        <v/>
      </c>
      <c r="Z102" s="129" t="str">
        <f t="shared" ref="Z102:Z105" si="94">+X102</f>
        <v/>
      </c>
      <c r="AA102" s="128" t="str">
        <f t="shared" si="87"/>
        <v/>
      </c>
      <c r="AB102" s="137" t="str">
        <f>IFERROR(IF(AND(Q101="Impacto",Q102="Impacto"),(AB101-(+AB101*T102)),IF(AND(Q101="Probabilidad",Q102="Impacto"),(AB99-(+AB99*T102)),IF(Q102="Probabilidad",AB101,""))),"")</f>
        <v/>
      </c>
      <c r="AC102" s="130" t="str">
        <f t="shared" ref="AC102" si="95">IFERROR(IF(OR(AND(Y102="Muy Baja",AA102="Leve"),AND(Y102="Muy Baja",AA102="Menor"),AND(Y102="Baja",AA102="Leve")),"Bajo",IF(OR(AND(Y102="Muy baja",AA102="Moderado"),AND(Y102="Baja",AA102="Menor"),AND(Y102="Baja",AA102="Moderado"),AND(Y102="Media",AA102="Leve"),AND(Y102="Media",AA102="Menor"),AND(Y102="Media",AA102="Moderado"),AND(Y102="Alta",AA102="Leve"),AND(Y102="Alta",AA102="Menor")),"Moderado",IF(OR(AND(Y102="Muy Baja",AA102="Mayor"),AND(Y102="Baja",AA102="Mayor"),AND(Y102="Media",AA102="Mayor"),AND(Y102="Alta",AA102="Moderado"),AND(Y102="Alta",AA102="Mayor"),AND(Y102="Muy Alta",AA102="Leve"),AND(Y102="Muy Alta",AA102="Menor"),AND(Y102="Muy Alta",AA102="Moderado"),AND(Y102="Muy Alta",AA102="Mayor")),"Alto",IF(OR(AND(Y102="Muy Baja",AA102="Catastrófico"),AND(Y102="Baja",AA102="Catastrófico"),AND(Y102="Media",AA102="Catastrófico"),AND(Y102="Alta",AA102="Catastrófico"),AND(Y102="Muy Alta",AA102="Catastrófico")),"Extremo","")))),"")</f>
        <v/>
      </c>
      <c r="AD102" s="131"/>
      <c r="AE102" s="132"/>
      <c r="AF102" s="133"/>
      <c r="AG102" s="134"/>
      <c r="AH102" s="134"/>
      <c r="AI102" s="132"/>
      <c r="AJ102" s="133"/>
    </row>
    <row r="103" spans="1:36" hidden="1" x14ac:dyDescent="0.3">
      <c r="A103" s="222"/>
      <c r="B103" s="224"/>
      <c r="C103" s="307"/>
      <c r="D103" s="224"/>
      <c r="E103" s="310"/>
      <c r="F103" s="224"/>
      <c r="G103" s="254"/>
      <c r="H103" s="242"/>
      <c r="I103" s="233"/>
      <c r="J103" s="236"/>
      <c r="K103" s="233">
        <f ca="1">IF(NOT(ISERROR(MATCH(J103,_xlfn.ANCHORARRAY(#REF!),0))),#REF!&amp;"Por favor no seleccionar los criterios de impacto",J103)</f>
        <v>0</v>
      </c>
      <c r="L103" s="242"/>
      <c r="M103" s="233"/>
      <c r="N103" s="230"/>
      <c r="O103" s="138">
        <v>4</v>
      </c>
      <c r="P103" s="123"/>
      <c r="Q103" s="124" t="str">
        <f t="shared" ref="Q103:Q105" si="96">IF(OR(R103="Preventivo",R103="Detectivo"),"Probabilidad",IF(R103="Correctivo","Impacto",""))</f>
        <v/>
      </c>
      <c r="R103" s="125"/>
      <c r="S103" s="125"/>
      <c r="T103" s="126" t="str">
        <f t="shared" si="92"/>
        <v/>
      </c>
      <c r="U103" s="125"/>
      <c r="V103" s="125"/>
      <c r="W103" s="125"/>
      <c r="X103" s="139" t="str">
        <f t="shared" si="93"/>
        <v/>
      </c>
      <c r="Y103" s="128" t="str">
        <f t="shared" si="85"/>
        <v/>
      </c>
      <c r="Z103" s="129" t="str">
        <f t="shared" si="94"/>
        <v/>
      </c>
      <c r="AA103" s="128" t="str">
        <f t="shared" si="87"/>
        <v/>
      </c>
      <c r="AB103" s="137" t="str">
        <f t="shared" ref="AB103:AB105" si="97">IFERROR(IF(AND(Q102="Impacto",Q103="Impacto"),(AB102-(+AB102*T103)),IF(AND(Q102="Probabilidad",Q103="Impacto"),(AB101-(+AB101*T103)),IF(Q103="Probabilidad",AB102,""))),"")</f>
        <v/>
      </c>
      <c r="AC103" s="130" t="str">
        <f>IFERROR(IF(OR(AND(Y103="Muy Baja",AA103="Leve"),AND(Y103="Muy Baja",AA103="Menor"),AND(Y103="Baja",AA103="Leve")),"Bajo",IF(OR(AND(Y103="Muy baja",AA103="Moderado"),AND(Y103="Baja",AA103="Menor"),AND(Y103="Baja",AA103="Moderado"),AND(Y103="Media",AA103="Leve"),AND(Y103="Media",AA103="Menor"),AND(Y103="Media",AA103="Moderado"),AND(Y103="Alta",AA103="Leve"),AND(Y103="Alta",AA103="Menor")),"Moderado",IF(OR(AND(Y103="Muy Baja",AA103="Mayor"),AND(Y103="Baja",AA103="Mayor"),AND(Y103="Media",AA103="Mayor"),AND(Y103="Alta",AA103="Moderado"),AND(Y103="Alta",AA103="Mayor"),AND(Y103="Muy Alta",AA103="Leve"),AND(Y103="Muy Alta",AA103="Menor"),AND(Y103="Muy Alta",AA103="Moderado"),AND(Y103="Muy Alta",AA103="Mayor")),"Alto",IF(OR(AND(Y103="Muy Baja",AA103="Catastrófico"),AND(Y103="Baja",AA103="Catastrófico"),AND(Y103="Media",AA103="Catastrófico"),AND(Y103="Alta",AA103="Catastrófico"),AND(Y103="Muy Alta",AA103="Catastrófico")),"Extremo","")))),"")</f>
        <v/>
      </c>
      <c r="AD103" s="131"/>
      <c r="AE103" s="132"/>
      <c r="AF103" s="133"/>
      <c r="AG103" s="134"/>
      <c r="AH103" s="134"/>
      <c r="AI103" s="132"/>
      <c r="AJ103" s="133"/>
    </row>
    <row r="104" spans="1:36" hidden="1" x14ac:dyDescent="0.3">
      <c r="A104" s="222"/>
      <c r="B104" s="224"/>
      <c r="C104" s="307"/>
      <c r="D104" s="224"/>
      <c r="E104" s="310"/>
      <c r="F104" s="224"/>
      <c r="G104" s="254"/>
      <c r="H104" s="242"/>
      <c r="I104" s="233"/>
      <c r="J104" s="236"/>
      <c r="K104" s="233">
        <f ca="1">IF(NOT(ISERROR(MATCH(J104,_xlfn.ANCHORARRAY(#REF!),0))),#REF!&amp;"Por favor no seleccionar los criterios de impacto",J104)</f>
        <v>0</v>
      </c>
      <c r="L104" s="242"/>
      <c r="M104" s="233"/>
      <c r="N104" s="230"/>
      <c r="O104" s="138">
        <v>5</v>
      </c>
      <c r="P104" s="123"/>
      <c r="Q104" s="124" t="str">
        <f t="shared" si="96"/>
        <v/>
      </c>
      <c r="R104" s="125"/>
      <c r="S104" s="125"/>
      <c r="T104" s="126" t="str">
        <f t="shared" si="92"/>
        <v/>
      </c>
      <c r="U104" s="125"/>
      <c r="V104" s="125"/>
      <c r="W104" s="125"/>
      <c r="X104" s="139" t="str">
        <f t="shared" si="93"/>
        <v/>
      </c>
      <c r="Y104" s="128" t="str">
        <f t="shared" si="85"/>
        <v/>
      </c>
      <c r="Z104" s="129" t="str">
        <f t="shared" si="94"/>
        <v/>
      </c>
      <c r="AA104" s="128" t="str">
        <f t="shared" si="87"/>
        <v/>
      </c>
      <c r="AB104" s="137" t="str">
        <f t="shared" si="97"/>
        <v/>
      </c>
      <c r="AC104" s="130" t="str">
        <f t="shared" ref="AC104:AC105" si="98">IFERROR(IF(OR(AND(Y104="Muy Baja",AA104="Leve"),AND(Y104="Muy Baja",AA104="Menor"),AND(Y104="Baja",AA104="Leve")),"Bajo",IF(OR(AND(Y104="Muy baja",AA104="Moderado"),AND(Y104="Baja",AA104="Menor"),AND(Y104="Baja",AA104="Moderado"),AND(Y104="Media",AA104="Leve"),AND(Y104="Media",AA104="Menor"),AND(Y104="Media",AA104="Moderado"),AND(Y104="Alta",AA104="Leve"),AND(Y104="Alta",AA104="Menor")),"Moderado",IF(OR(AND(Y104="Muy Baja",AA104="Mayor"),AND(Y104="Baja",AA104="Mayor"),AND(Y104="Media",AA104="Mayor"),AND(Y104="Alta",AA104="Moderado"),AND(Y104="Alta",AA104="Mayor"),AND(Y104="Muy Alta",AA104="Leve"),AND(Y104="Muy Alta",AA104="Menor"),AND(Y104="Muy Alta",AA104="Moderado"),AND(Y104="Muy Alta",AA104="Mayor")),"Alto",IF(OR(AND(Y104="Muy Baja",AA104="Catastrófico"),AND(Y104="Baja",AA104="Catastrófico"),AND(Y104="Media",AA104="Catastrófico"),AND(Y104="Alta",AA104="Catastrófico"),AND(Y104="Muy Alta",AA104="Catastrófico")),"Extremo","")))),"")</f>
        <v/>
      </c>
      <c r="AD104" s="131"/>
      <c r="AE104" s="132"/>
      <c r="AF104" s="133"/>
      <c r="AG104" s="134"/>
      <c r="AH104" s="134"/>
      <c r="AI104" s="132"/>
      <c r="AJ104" s="133"/>
    </row>
    <row r="105" spans="1:36" hidden="1" x14ac:dyDescent="0.3">
      <c r="A105" s="211"/>
      <c r="B105" s="225"/>
      <c r="C105" s="308"/>
      <c r="D105" s="225"/>
      <c r="E105" s="311"/>
      <c r="F105" s="225"/>
      <c r="G105" s="255"/>
      <c r="H105" s="243"/>
      <c r="I105" s="234"/>
      <c r="J105" s="237"/>
      <c r="K105" s="234">
        <f ca="1">IF(NOT(ISERROR(MATCH(J105,_xlfn.ANCHORARRAY(#REF!),0))),#REF!&amp;"Por favor no seleccionar los criterios de impacto",J105)</f>
        <v>0</v>
      </c>
      <c r="L105" s="243"/>
      <c r="M105" s="234"/>
      <c r="N105" s="231"/>
      <c r="O105" s="138">
        <v>6</v>
      </c>
      <c r="P105" s="123"/>
      <c r="Q105" s="124" t="str">
        <f t="shared" si="96"/>
        <v/>
      </c>
      <c r="R105" s="125"/>
      <c r="S105" s="125"/>
      <c r="T105" s="126" t="str">
        <f t="shared" si="92"/>
        <v/>
      </c>
      <c r="U105" s="125"/>
      <c r="V105" s="125"/>
      <c r="W105" s="125"/>
      <c r="X105" s="139" t="str">
        <f t="shared" si="93"/>
        <v/>
      </c>
      <c r="Y105" s="128" t="str">
        <f t="shared" si="85"/>
        <v/>
      </c>
      <c r="Z105" s="129" t="str">
        <f t="shared" si="94"/>
        <v/>
      </c>
      <c r="AA105" s="128" t="str">
        <f t="shared" si="87"/>
        <v/>
      </c>
      <c r="AB105" s="137" t="str">
        <f t="shared" si="97"/>
        <v/>
      </c>
      <c r="AC105" s="130" t="str">
        <f t="shared" si="98"/>
        <v/>
      </c>
      <c r="AD105" s="131"/>
      <c r="AE105" s="132"/>
      <c r="AF105" s="133"/>
      <c r="AG105" s="134"/>
      <c r="AH105" s="134"/>
      <c r="AI105" s="132"/>
      <c r="AJ105" s="133"/>
    </row>
    <row r="106" spans="1:36" x14ac:dyDescent="0.3">
      <c r="A106" s="210">
        <v>3</v>
      </c>
      <c r="B106" s="223" t="s">
        <v>131</v>
      </c>
      <c r="C106" s="306" t="s">
        <v>242</v>
      </c>
      <c r="D106" s="306" t="s">
        <v>243</v>
      </c>
      <c r="E106" s="309" t="s">
        <v>244</v>
      </c>
      <c r="F106" s="223" t="s">
        <v>240</v>
      </c>
      <c r="G106" s="253">
        <v>41</v>
      </c>
      <c r="H106" s="241" t="str">
        <f>IF(G106&lt;=0,"",IF(G106&lt;=2,"Muy Baja",IF(G106&lt;=24,"Baja",IF(G106&lt;=500,"Media",IF(G106&lt;=5000,"Alta","Muy Alta")))))</f>
        <v>Media</v>
      </c>
      <c r="I106" s="232">
        <f>IF(H106="","",IF(H106="Muy Baja",0.2,IF(H106="Baja",0.4,IF(H106="Media",0.6,IF(H106="Alta",0.8,IF(H106="Muy Alta",1,))))))</f>
        <v>0.6</v>
      </c>
      <c r="J106" s="235" t="s">
        <v>150</v>
      </c>
      <c r="K106" s="232" t="str">
        <f>IF(NOT(ISERROR(MATCH(J106,'[2]Tabla Impacto'!$B$221:$B$223,0))),'[2]Tabla Impacto'!$F$223&amp;"Por favor no seleccionar los criterios de impacto(Afectación Económica o presupuestal y Pérdida Reputacional)",J106)</f>
        <v xml:space="preserve">     El riesgo afecta la imagen de alguna área de la organización</v>
      </c>
      <c r="L106" s="241" t="str">
        <f>IF(OR(K106='[2]Tabla Impacto'!$C$11,K106='[2]Tabla Impacto'!$D$11),"Leve",IF(OR(K106='[2]Tabla Impacto'!$C$12,K106='[2]Tabla Impacto'!$D$12),"Menor",IF(OR(K106='[2]Tabla Impacto'!$C$13,K106='[2]Tabla Impacto'!$D$13),"Moderado",IF(OR(K106='[2]Tabla Impacto'!$C$14,K106='[2]Tabla Impacto'!$D$14),"Mayor",IF(OR(K106='[2]Tabla Impacto'!$C$15,K106='[2]Tabla Impacto'!$D$15),"Catastrófico","")))))</f>
        <v>Leve</v>
      </c>
      <c r="M106" s="232">
        <f>IF(L106="","",IF(L106="Leve",0.2,IF(L106="Menor",0.4,IF(L106="Moderado",0.6,IF(L106="Mayor",0.8,IF(L106="Catastrófico",1,))))))</f>
        <v>0.2</v>
      </c>
      <c r="N106" s="322" t="str">
        <f>IF(OR(AND(H106="Muy Baja",L106="Leve"),AND(H106="Muy Baja",L106="Menor"),AND(H106="Baja",L106="Leve")),"Bajo",IF(OR(AND(H106="Muy baja",L106="Moderado"),AND(H106="Baja",L106="Menor"),AND(H106="Baja",L106="Moderado"),AND(H106="Media",L106="Leve"),AND(H106="Media",L106="Menor"),AND(H106="Media",L106="Moderado"),AND(H106="Alta",L106="Leve"),AND(H106="Alta",L106="Menor")),"Moderado",IF(OR(AND(H106="Muy Baja",L106="Mayor"),AND(H106="Baja",L106="Mayor"),AND(H106="Media",L106="Mayor"),AND(H106="Alta",L106="Moderado"),AND(H106="Alta",L106="Mayor"),AND(H106="Muy Alta",L106="Leve"),AND(H106="Muy Alta",L106="Menor"),AND(H106="Muy Alta",L106="Moderado"),AND(H106="Muy Alta",L106="Mayor")),"Alto",IF(OR(AND(H106="Muy Baja",L106="Catastrófico"),AND(H106="Baja",L106="Catastrófico"),AND(H106="Media",L106="Catastrófico"),AND(H106="Alta",L106="Catastrófico"),AND(H106="Muy Alta",L106="Catastrófico")),"Extremo",""))))</f>
        <v>Moderado</v>
      </c>
      <c r="O106" s="324">
        <v>1</v>
      </c>
      <c r="P106" s="325" t="s">
        <v>245</v>
      </c>
      <c r="Q106" s="328" t="str">
        <f>IF(OR(R99="Preventivo",R99="Detectivo"),"Probabilidad",IF(R99="Correctivo","Impacto",""))</f>
        <v>Probabilidad</v>
      </c>
      <c r="R106" s="329" t="s">
        <v>14</v>
      </c>
      <c r="S106" s="202" t="s">
        <v>9</v>
      </c>
      <c r="T106" s="200" t="str">
        <f>IF(AND(R106="Preventivo",S106="Automático"),"50%",IF(AND(R106="Preventivo",S106="Manual"),"40%",IF(AND(R106="Detectivo",S106="Automático"),"40%",IF(AND(R106="Detectivo",S106="Manual"),"30%",IF(AND(R106="Correctivo",S106="Automático"),"35%",IF(AND(R106="Correctivo",S106="Manual"),"25%",""))))))</f>
        <v>40%</v>
      </c>
      <c r="U106" s="202" t="s">
        <v>19</v>
      </c>
      <c r="V106" s="202" t="s">
        <v>22</v>
      </c>
      <c r="W106" s="202" t="s">
        <v>119</v>
      </c>
      <c r="X106" s="313">
        <f>IFERROR(IF(Q106="Probabilidad",(I106-(+I106*T106)),IF(Q106="Impacto",I106,"")),"")</f>
        <v>0.36</v>
      </c>
      <c r="Y106" s="204" t="str">
        <f>IFERROR(IF(X93="","",IF(X93&lt;=0.2,"Muy Baja",IF(X93&lt;=0.4,"Baja",IF(X93&lt;=0.6,"Media",IF(X93&lt;=0.8,"Alta","Muy Alta"))))),"")</f>
        <v>Muy Baja</v>
      </c>
      <c r="Z106" s="200">
        <f>+X106</f>
        <v>0.36</v>
      </c>
      <c r="AA106" s="204" t="str">
        <f>IFERROR(IF(AB106="","",IF(AB106&lt;=0.2,"Leve",IF(AB106&lt;=0.4,"Menor",IF(AB106&lt;=0.6,"Moderado",IF(AB106&lt;=0.8,"Mayor","Catastrófico"))))),"")</f>
        <v>Leve</v>
      </c>
      <c r="AB106" s="206">
        <f>IFERROR(IF(Q106="Impacto",(M106-(+M106*T106)),IF(Q106="Probabilidad",M106,"")),"")</f>
        <v>0.2</v>
      </c>
      <c r="AC106" s="208" t="str">
        <f>IFERROR(IF(OR(AND(Y106="Muy Baja",AA106="Leve"),AND(Y106="Muy Baja",AA106="Menor"),AND(Y106="Baja",AA106="Leve")),"Bajo",IF(OR(AND(Y106="Muy baja",AA106="Moderado"),AND(Y106="Baja",AA106="Menor"),AND(Y106="Baja",AA106="Moderado"),AND(Y106="Media",AA106="Leve"),AND(Y106="Media",AA106="Menor"),AND(Y106="Media",AA106="Moderado"),AND(Y106="Alta",AA106="Leve"),AND(Y106="Alta",AA106="Menor")),"Moderado",IF(OR(AND(Y106="Muy Baja",AA106="Mayor"),AND(Y106="Baja",AA106="Mayor"),AND(Y106="Media",AA106="Mayor"),AND(Y106="Alta",AA106="Moderado"),AND(Y106="Alta",AA106="Mayor"),AND(Y106="Muy Alta",AA106="Leve"),AND(Y106="Muy Alta",AA106="Menor"),AND(Y106="Muy Alta",AA106="Moderado"),AND(Y106="Muy Alta",AA106="Mayor")),"Alto",IF(OR(AND(Y106="Muy Baja",AA106="Catastrófico"),AND(Y106="Baja",AA106="Catastrófico"),AND(Y106="Media",AA106="Catastrófico"),AND(Y106="Alta",AA106="Catastrófico"),AND(Y106="Muy Alta",AA106="Catastrófico")),"Extremo","")))),"")</f>
        <v>Bajo</v>
      </c>
      <c r="AD106" s="202" t="s">
        <v>32</v>
      </c>
      <c r="AE106" s="212"/>
      <c r="AF106" s="214"/>
      <c r="AG106" s="216"/>
      <c r="AH106" s="216"/>
      <c r="AI106" s="212"/>
      <c r="AJ106" s="214"/>
    </row>
    <row r="107" spans="1:36" x14ac:dyDescent="0.3">
      <c r="A107" s="222"/>
      <c r="B107" s="224"/>
      <c r="C107" s="307"/>
      <c r="D107" s="307"/>
      <c r="E107" s="310"/>
      <c r="F107" s="224"/>
      <c r="G107" s="254"/>
      <c r="H107" s="242"/>
      <c r="I107" s="233"/>
      <c r="J107" s="236"/>
      <c r="K107" s="233"/>
      <c r="L107" s="242"/>
      <c r="M107" s="233"/>
      <c r="N107" s="323"/>
      <c r="O107" s="324"/>
      <c r="P107" s="326"/>
      <c r="Q107" s="328"/>
      <c r="R107" s="330"/>
      <c r="S107" s="318"/>
      <c r="T107" s="320"/>
      <c r="U107" s="318"/>
      <c r="V107" s="318"/>
      <c r="W107" s="318"/>
      <c r="X107" s="321"/>
      <c r="Y107" s="315"/>
      <c r="Z107" s="320"/>
      <c r="AA107" s="315"/>
      <c r="AB107" s="316"/>
      <c r="AC107" s="317"/>
      <c r="AD107" s="318"/>
      <c r="AE107" s="275"/>
      <c r="AF107" s="279"/>
      <c r="AG107" s="319"/>
      <c r="AH107" s="319"/>
      <c r="AI107" s="275"/>
      <c r="AJ107" s="279"/>
    </row>
    <row r="108" spans="1:36" x14ac:dyDescent="0.3">
      <c r="A108" s="222"/>
      <c r="B108" s="224"/>
      <c r="C108" s="307"/>
      <c r="D108" s="307"/>
      <c r="E108" s="310"/>
      <c r="F108" s="224"/>
      <c r="G108" s="254"/>
      <c r="H108" s="242"/>
      <c r="I108" s="233"/>
      <c r="J108" s="236"/>
      <c r="K108" s="233">
        <f ca="1">IF(NOT(ISERROR(MATCH(J108,_xlfn.ANCHORARRAY(E118),0))),I120&amp;"Por favor no seleccionar los criterios de impacto",J108)</f>
        <v>0</v>
      </c>
      <c r="L108" s="242"/>
      <c r="M108" s="233"/>
      <c r="N108" s="323"/>
      <c r="O108" s="324"/>
      <c r="P108" s="326"/>
      <c r="Q108" s="328"/>
      <c r="R108" s="330"/>
      <c r="S108" s="318"/>
      <c r="T108" s="320"/>
      <c r="U108" s="318"/>
      <c r="V108" s="318"/>
      <c r="W108" s="318"/>
      <c r="X108" s="321"/>
      <c r="Y108" s="315"/>
      <c r="Z108" s="320"/>
      <c r="AA108" s="315"/>
      <c r="AB108" s="316"/>
      <c r="AC108" s="317"/>
      <c r="AD108" s="318"/>
      <c r="AE108" s="275"/>
      <c r="AF108" s="279"/>
      <c r="AG108" s="319"/>
      <c r="AH108" s="319"/>
      <c r="AI108" s="275"/>
      <c r="AJ108" s="279"/>
    </row>
    <row r="109" spans="1:36" x14ac:dyDescent="0.3">
      <c r="A109" s="222"/>
      <c r="B109" s="224"/>
      <c r="C109" s="307"/>
      <c r="D109" s="307"/>
      <c r="E109" s="310"/>
      <c r="F109" s="224"/>
      <c r="G109" s="254"/>
      <c r="H109" s="242"/>
      <c r="I109" s="233"/>
      <c r="J109" s="236"/>
      <c r="K109" s="233">
        <f ca="1">IF(NOT(ISERROR(MATCH(J109,_xlfn.ANCHORARRAY(E119),0))),I121&amp;"Por favor no seleccionar los criterios de impacto",J109)</f>
        <v>0</v>
      </c>
      <c r="L109" s="242"/>
      <c r="M109" s="233"/>
      <c r="N109" s="323"/>
      <c r="O109" s="324"/>
      <c r="P109" s="327"/>
      <c r="Q109" s="328"/>
      <c r="R109" s="331"/>
      <c r="S109" s="203"/>
      <c r="T109" s="201"/>
      <c r="U109" s="203"/>
      <c r="V109" s="203"/>
      <c r="W109" s="203"/>
      <c r="X109" s="314"/>
      <c r="Y109" s="205"/>
      <c r="Z109" s="201"/>
      <c r="AA109" s="205"/>
      <c r="AB109" s="207"/>
      <c r="AC109" s="209"/>
      <c r="AD109" s="203"/>
      <c r="AE109" s="213"/>
      <c r="AF109" s="215"/>
      <c r="AG109" s="217"/>
      <c r="AH109" s="217"/>
      <c r="AI109" s="213"/>
      <c r="AJ109" s="215"/>
    </row>
    <row r="110" spans="1:36" x14ac:dyDescent="0.3">
      <c r="A110" s="222"/>
      <c r="B110" s="224"/>
      <c r="C110" s="307"/>
      <c r="D110" s="307"/>
      <c r="E110" s="310"/>
      <c r="F110" s="224"/>
      <c r="G110" s="254"/>
      <c r="H110" s="242"/>
      <c r="I110" s="233"/>
      <c r="J110" s="236"/>
      <c r="K110" s="233">
        <f ca="1">IF(NOT(ISERROR(MATCH(J110,_xlfn.ANCHORARRAY(E120),0))),I122&amp;"Por favor no seleccionar los criterios de impacto",J110)</f>
        <v>0</v>
      </c>
      <c r="L110" s="242"/>
      <c r="M110" s="233"/>
      <c r="N110" s="230"/>
      <c r="O110" s="222">
        <v>2</v>
      </c>
      <c r="P110" s="332" t="s">
        <v>246</v>
      </c>
      <c r="Q110" s="335" t="s">
        <v>4</v>
      </c>
      <c r="R110" s="202" t="s">
        <v>14</v>
      </c>
      <c r="S110" s="202" t="s">
        <v>9</v>
      </c>
      <c r="T110" s="200" t="str">
        <f t="shared" ref="T110" si="99">IF(AND(R110="Preventivo",S110="Automático"),"50%",IF(AND(R110="Preventivo",S110="Manual"),"40%",IF(AND(R110="Detectivo",S110="Automático"),"40%",IF(AND(R110="Detectivo",S110="Manual"),"30%",IF(AND(R110="Correctivo",S110="Automático"),"35%",IF(AND(R110="Correctivo",S110="Manual"),"25%",""))))))</f>
        <v>40%</v>
      </c>
      <c r="U110" s="202" t="s">
        <v>19</v>
      </c>
      <c r="V110" s="202" t="s">
        <v>22</v>
      </c>
      <c r="W110" s="202" t="s">
        <v>119</v>
      </c>
      <c r="X110" s="313">
        <f>IFERROR(IF(Q110="Probabilidad",(I106-(+I110*T110)),IF(Q110="Impacto",I110,"")),"")</f>
        <v>0.6</v>
      </c>
      <c r="Y110" s="204" t="str">
        <f>IFERROR(IF(X110="","",IF(74&lt;=0.2,"Muy Baja",IF(X110&lt;=0.4,"Baja",IF(X110&lt;=0.6,"Media",IF(X110&lt;=0.8,"Alta","Muy Alta"))))),"")</f>
        <v>Media</v>
      </c>
      <c r="Z110" s="200">
        <f>+X110</f>
        <v>0.6</v>
      </c>
      <c r="AA110" s="204" t="str">
        <f>IFERROR(IF(AB110="","",IF(AB110&lt;=0.2,"Leve",IF(AB110&lt;=0.4,"Menor",IF(AB110&lt;=0.6,"Moderado",IF(AB110&lt;=0.8,"Mayor","Catastrófico"))))),"")</f>
        <v>Leve</v>
      </c>
      <c r="AB110" s="206">
        <f>IFERROR(IF(Q110="Impacto",(M106-(+M106*T110)),IF(Q110="Probabilidad",M106,"")),"")</f>
        <v>0.2</v>
      </c>
      <c r="AC110" s="208" t="str">
        <f>IFERROR(IF(OR(AND(Y110="Muy Baja",AA110="Leve"),AND(Y110="Muy Baja",AA110="Menor"),AND(Y110="Baja",AA110="Leve")),"Bajo",IF(OR(AND(Y110="Muy baja",AA110="Moderado"),AND(Y110="Baja",AA110="Menor"),AND(Y110="Baja",AA110="Moderado"),AND(Y110="Media",AA110="Leve"),AND(Y110="Media",AA110="Menor"),AND(Y110="Media",AA110="Moderado"),AND(Y110="Alta",AA110="Leve"),AND(Y110="Alta",AA110="Menor")),"Moderado",IF(OR(AND(Y110="Muy Baja",AA110="Mayor"),AND(Y110="Baja",AA110="Mayor"),AND(Y110="Media",AA110="Mayor"),AND(Y110="Alta",AA110="Moderado"),AND(Y110="Alta",AA110="Mayor"),AND(Y110="Muy Alta",AA110="Leve"),AND(Y110="Muy Alta",AA110="Menor"),AND(Y110="Muy Alta",AA110="Moderado"),AND(Y110="Muy Alta",AA110="Mayor")),"Alto",IF(OR(AND(Y110="Muy Baja",AA110="Catastrófico"),AND(Y110="Baja",AA110="Catastrófico"),AND(Y110="Media",AA110="Catastrófico"),AND(Y110="Alta",AA110="Catastrófico"),AND(Y110="Muy Alta",AA110="Catastrófico")),"Extremo","")))),"")</f>
        <v>Moderado</v>
      </c>
      <c r="AD110" s="202" t="s">
        <v>32</v>
      </c>
      <c r="AE110" s="212"/>
      <c r="AF110" s="214"/>
      <c r="AG110" s="216"/>
      <c r="AH110" s="216"/>
      <c r="AI110" s="212"/>
      <c r="AJ110" s="214"/>
    </row>
    <row r="111" spans="1:36" x14ac:dyDescent="0.3">
      <c r="A111" s="222"/>
      <c r="B111" s="224"/>
      <c r="C111" s="307"/>
      <c r="D111" s="307"/>
      <c r="E111" s="310"/>
      <c r="F111" s="224"/>
      <c r="G111" s="254"/>
      <c r="H111" s="242"/>
      <c r="I111" s="233"/>
      <c r="J111" s="236"/>
      <c r="K111" s="233">
        <f ca="1">IF(NOT(ISERROR(MATCH(J111,_xlfn.ANCHORARRAY(E121),0))),I123&amp;"Por favor no seleccionar los criterios de impacto",J111)</f>
        <v>0</v>
      </c>
      <c r="L111" s="242"/>
      <c r="M111" s="233"/>
      <c r="N111" s="230"/>
      <c r="O111" s="222"/>
      <c r="P111" s="333"/>
      <c r="Q111" s="335"/>
      <c r="R111" s="318"/>
      <c r="S111" s="318"/>
      <c r="T111" s="320"/>
      <c r="U111" s="318"/>
      <c r="V111" s="318"/>
      <c r="W111" s="318"/>
      <c r="X111" s="321"/>
      <c r="Y111" s="315"/>
      <c r="Z111" s="320"/>
      <c r="AA111" s="315"/>
      <c r="AB111" s="316"/>
      <c r="AC111" s="317"/>
      <c r="AD111" s="318"/>
      <c r="AE111" s="275"/>
      <c r="AF111" s="279"/>
      <c r="AG111" s="319"/>
      <c r="AH111" s="319"/>
      <c r="AI111" s="275"/>
      <c r="AJ111" s="279"/>
    </row>
    <row r="112" spans="1:36" x14ac:dyDescent="0.3">
      <c r="A112" s="222"/>
      <c r="B112" s="224"/>
      <c r="C112" s="307"/>
      <c r="D112" s="307"/>
      <c r="E112" s="310"/>
      <c r="F112" s="224"/>
      <c r="G112" s="254"/>
      <c r="H112" s="242"/>
      <c r="I112" s="233"/>
      <c r="J112" s="236"/>
      <c r="K112" s="233"/>
      <c r="L112" s="242"/>
      <c r="M112" s="233"/>
      <c r="N112" s="230"/>
      <c r="O112" s="222"/>
      <c r="P112" s="333"/>
      <c r="Q112" s="335"/>
      <c r="R112" s="318"/>
      <c r="S112" s="318"/>
      <c r="T112" s="320"/>
      <c r="U112" s="318"/>
      <c r="V112" s="318"/>
      <c r="W112" s="318"/>
      <c r="X112" s="321"/>
      <c r="Y112" s="315"/>
      <c r="Z112" s="320"/>
      <c r="AA112" s="315"/>
      <c r="AB112" s="316"/>
      <c r="AC112" s="317"/>
      <c r="AD112" s="318"/>
      <c r="AE112" s="275"/>
      <c r="AF112" s="279"/>
      <c r="AG112" s="319"/>
      <c r="AH112" s="319"/>
      <c r="AI112" s="275"/>
      <c r="AJ112" s="279"/>
    </row>
    <row r="113" spans="1:36" x14ac:dyDescent="0.3">
      <c r="A113" s="211"/>
      <c r="B113" s="225"/>
      <c r="C113" s="308"/>
      <c r="D113" s="308"/>
      <c r="E113" s="311"/>
      <c r="F113" s="225"/>
      <c r="G113" s="255"/>
      <c r="H113" s="243"/>
      <c r="I113" s="234"/>
      <c r="J113" s="237"/>
      <c r="K113" s="234">
        <f ca="1">IF(NOT(ISERROR(MATCH(J113,_xlfn.ANCHORARRAY(E122),0))),I124&amp;"Por favor no seleccionar los criterios de impacto",J113)</f>
        <v>0</v>
      </c>
      <c r="L113" s="243"/>
      <c r="M113" s="234"/>
      <c r="N113" s="231"/>
      <c r="O113" s="211"/>
      <c r="P113" s="334"/>
      <c r="Q113" s="336"/>
      <c r="R113" s="203"/>
      <c r="S113" s="203"/>
      <c r="T113" s="201"/>
      <c r="U113" s="203"/>
      <c r="V113" s="203"/>
      <c r="W113" s="203"/>
      <c r="X113" s="314"/>
      <c r="Y113" s="205"/>
      <c r="Z113" s="201"/>
      <c r="AA113" s="205"/>
      <c r="AB113" s="207"/>
      <c r="AC113" s="209"/>
      <c r="AD113" s="203"/>
      <c r="AE113" s="213"/>
      <c r="AF113" s="215"/>
      <c r="AG113" s="217"/>
      <c r="AH113" s="217"/>
      <c r="AI113" s="213"/>
      <c r="AJ113" s="215"/>
    </row>
    <row r="114" spans="1:36" x14ac:dyDescent="0.3">
      <c r="A114" s="290" t="s">
        <v>247</v>
      </c>
      <c r="B114" s="29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2"/>
    </row>
    <row r="115" spans="1:36" ht="19.5" customHeight="1" x14ac:dyDescent="0.3">
      <c r="A115" s="293"/>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5"/>
    </row>
    <row r="116" spans="1:36" ht="23.25" x14ac:dyDescent="0.3">
      <c r="A116" s="256" t="s">
        <v>43</v>
      </c>
      <c r="B116" s="257"/>
      <c r="C116" s="263" t="s">
        <v>248</v>
      </c>
      <c r="D116" s="264"/>
      <c r="E116" s="264"/>
      <c r="F116" s="264"/>
      <c r="G116" s="264"/>
      <c r="H116" s="264"/>
      <c r="I116" s="264"/>
      <c r="J116" s="264"/>
      <c r="K116" s="264"/>
      <c r="L116" s="264"/>
      <c r="M116" s="264"/>
      <c r="N116" s="265"/>
      <c r="O116" s="296"/>
      <c r="P116" s="296"/>
      <c r="Q116" s="296"/>
      <c r="R116" s="7"/>
      <c r="S116" s="7"/>
      <c r="T116" s="7"/>
      <c r="U116" s="7"/>
      <c r="V116" s="7"/>
      <c r="W116" s="7"/>
      <c r="X116" s="7"/>
      <c r="Y116" s="7"/>
      <c r="Z116" s="7"/>
      <c r="AA116" s="7"/>
      <c r="AB116" s="7"/>
      <c r="AC116" s="7"/>
      <c r="AD116" s="7"/>
      <c r="AE116" s="7"/>
      <c r="AF116" s="7"/>
      <c r="AG116" s="7"/>
      <c r="AH116" s="7"/>
      <c r="AI116" s="7"/>
      <c r="AJ116" s="7"/>
    </row>
    <row r="117" spans="1:36" ht="54" customHeight="1" x14ac:dyDescent="0.3">
      <c r="A117" s="256" t="s">
        <v>130</v>
      </c>
      <c r="B117" s="257"/>
      <c r="C117" s="266" t="s">
        <v>249</v>
      </c>
      <c r="D117" s="264"/>
      <c r="E117" s="264"/>
      <c r="F117" s="264"/>
      <c r="G117" s="264"/>
      <c r="H117" s="264"/>
      <c r="I117" s="264"/>
      <c r="J117" s="264"/>
      <c r="K117" s="264"/>
      <c r="L117" s="264"/>
      <c r="M117" s="264"/>
      <c r="N117" s="265"/>
      <c r="O117" s="24"/>
      <c r="P117" s="7"/>
      <c r="Q117" s="7"/>
      <c r="R117" s="7"/>
      <c r="S117" s="7"/>
      <c r="T117" s="7"/>
      <c r="U117" s="7"/>
      <c r="V117" s="7"/>
      <c r="W117" s="7"/>
      <c r="X117" s="7"/>
      <c r="Y117" s="7"/>
      <c r="Z117" s="7"/>
      <c r="AA117" s="7"/>
      <c r="AB117" s="7"/>
      <c r="AC117" s="7"/>
      <c r="AD117" s="7"/>
      <c r="AE117" s="7"/>
      <c r="AF117" s="7"/>
      <c r="AG117" s="7"/>
      <c r="AH117" s="7"/>
      <c r="AI117" s="7"/>
      <c r="AJ117" s="7"/>
    </row>
    <row r="118" spans="1:36" ht="23.25" x14ac:dyDescent="0.3">
      <c r="A118" s="256" t="s">
        <v>44</v>
      </c>
      <c r="B118" s="257"/>
      <c r="C118" s="266" t="s">
        <v>250</v>
      </c>
      <c r="D118" s="267"/>
      <c r="E118" s="267"/>
      <c r="F118" s="267"/>
      <c r="G118" s="267"/>
      <c r="H118" s="267"/>
      <c r="I118" s="267"/>
      <c r="J118" s="267"/>
      <c r="K118" s="267"/>
      <c r="L118" s="267"/>
      <c r="M118" s="267"/>
      <c r="N118" s="268"/>
      <c r="O118" s="24"/>
      <c r="P118" s="7"/>
      <c r="Q118" s="7"/>
      <c r="R118" s="7"/>
      <c r="S118" s="7"/>
      <c r="T118" s="7"/>
      <c r="U118" s="7"/>
      <c r="V118" s="7"/>
      <c r="W118" s="7"/>
      <c r="X118" s="7"/>
      <c r="Y118" s="7"/>
      <c r="Z118" s="7"/>
      <c r="AA118" s="7"/>
      <c r="AB118" s="7"/>
      <c r="AC118" s="7"/>
      <c r="AD118" s="7"/>
      <c r="AE118" s="7"/>
      <c r="AF118" s="7"/>
      <c r="AG118" s="7"/>
      <c r="AH118" s="7"/>
      <c r="AI118" s="7"/>
      <c r="AJ118" s="7"/>
    </row>
    <row r="119" spans="1:36" x14ac:dyDescent="0.3">
      <c r="A119" s="297" t="s">
        <v>138</v>
      </c>
      <c r="B119" s="298"/>
      <c r="C119" s="298"/>
      <c r="D119" s="298"/>
      <c r="E119" s="298"/>
      <c r="F119" s="298"/>
      <c r="G119" s="299"/>
      <c r="H119" s="297" t="s">
        <v>139</v>
      </c>
      <c r="I119" s="298"/>
      <c r="J119" s="298"/>
      <c r="K119" s="298"/>
      <c r="L119" s="298"/>
      <c r="M119" s="298"/>
      <c r="N119" s="299"/>
      <c r="O119" s="297" t="s">
        <v>140</v>
      </c>
      <c r="P119" s="298"/>
      <c r="Q119" s="298"/>
      <c r="R119" s="298"/>
      <c r="S119" s="298"/>
      <c r="T119" s="298"/>
      <c r="U119" s="298"/>
      <c r="V119" s="298"/>
      <c r="W119" s="299"/>
      <c r="X119" s="297" t="s">
        <v>141</v>
      </c>
      <c r="Y119" s="298"/>
      <c r="Z119" s="298"/>
      <c r="AA119" s="298"/>
      <c r="AB119" s="298"/>
      <c r="AC119" s="298"/>
      <c r="AD119" s="299"/>
      <c r="AE119" s="297" t="s">
        <v>34</v>
      </c>
      <c r="AF119" s="298"/>
      <c r="AG119" s="298"/>
      <c r="AH119" s="298"/>
      <c r="AI119" s="298"/>
      <c r="AJ119" s="299"/>
    </row>
    <row r="120" spans="1:36" x14ac:dyDescent="0.3">
      <c r="A120" s="258" t="s">
        <v>0</v>
      </c>
      <c r="B120" s="251" t="s">
        <v>2</v>
      </c>
      <c r="C120" s="245" t="s">
        <v>3</v>
      </c>
      <c r="D120" s="245" t="s">
        <v>42</v>
      </c>
      <c r="E120" s="260" t="s">
        <v>1</v>
      </c>
      <c r="F120" s="252" t="s">
        <v>50</v>
      </c>
      <c r="G120" s="245" t="s">
        <v>134</v>
      </c>
      <c r="H120" s="247" t="s">
        <v>33</v>
      </c>
      <c r="I120" s="248" t="s">
        <v>5</v>
      </c>
      <c r="J120" s="252" t="s">
        <v>87</v>
      </c>
      <c r="K120" s="252" t="s">
        <v>92</v>
      </c>
      <c r="L120" s="250" t="s">
        <v>45</v>
      </c>
      <c r="M120" s="248" t="s">
        <v>5</v>
      </c>
      <c r="N120" s="245" t="s">
        <v>48</v>
      </c>
      <c r="O120" s="261" t="s">
        <v>11</v>
      </c>
      <c r="P120" s="246" t="s">
        <v>160</v>
      </c>
      <c r="Q120" s="252" t="s">
        <v>12</v>
      </c>
      <c r="R120" s="246" t="s">
        <v>8</v>
      </c>
      <c r="S120" s="246"/>
      <c r="T120" s="246"/>
      <c r="U120" s="246"/>
      <c r="V120" s="246"/>
      <c r="W120" s="246"/>
      <c r="X120" s="244" t="s">
        <v>137</v>
      </c>
      <c r="Y120" s="244" t="s">
        <v>46</v>
      </c>
      <c r="Z120" s="244" t="s">
        <v>5</v>
      </c>
      <c r="AA120" s="244" t="s">
        <v>47</v>
      </c>
      <c r="AB120" s="244" t="s">
        <v>5</v>
      </c>
      <c r="AC120" s="244" t="s">
        <v>49</v>
      </c>
      <c r="AD120" s="261" t="s">
        <v>29</v>
      </c>
      <c r="AE120" s="246" t="s">
        <v>34</v>
      </c>
      <c r="AF120" s="246" t="s">
        <v>35</v>
      </c>
      <c r="AG120" s="246" t="s">
        <v>36</v>
      </c>
      <c r="AH120" s="246" t="s">
        <v>38</v>
      </c>
      <c r="AI120" s="246" t="s">
        <v>37</v>
      </c>
      <c r="AJ120" s="246" t="s">
        <v>39</v>
      </c>
    </row>
    <row r="121" spans="1:36" ht="78.75" x14ac:dyDescent="0.3">
      <c r="A121" s="259"/>
      <c r="B121" s="251"/>
      <c r="C121" s="246"/>
      <c r="D121" s="246"/>
      <c r="E121" s="251"/>
      <c r="F121" s="245"/>
      <c r="G121" s="246"/>
      <c r="H121" s="245"/>
      <c r="I121" s="249"/>
      <c r="J121" s="245"/>
      <c r="K121" s="245"/>
      <c r="L121" s="249"/>
      <c r="M121" s="249"/>
      <c r="N121" s="246"/>
      <c r="O121" s="262"/>
      <c r="P121" s="246"/>
      <c r="Q121" s="245"/>
      <c r="R121" s="6" t="s">
        <v>13</v>
      </c>
      <c r="S121" s="6" t="s">
        <v>17</v>
      </c>
      <c r="T121" s="6" t="s">
        <v>28</v>
      </c>
      <c r="U121" s="6" t="s">
        <v>18</v>
      </c>
      <c r="V121" s="6" t="s">
        <v>21</v>
      </c>
      <c r="W121" s="6" t="s">
        <v>24</v>
      </c>
      <c r="X121" s="244"/>
      <c r="Y121" s="244"/>
      <c r="Z121" s="244"/>
      <c r="AA121" s="244"/>
      <c r="AB121" s="244"/>
      <c r="AC121" s="244"/>
      <c r="AD121" s="262"/>
      <c r="AE121" s="246"/>
      <c r="AF121" s="246"/>
      <c r="AG121" s="246"/>
      <c r="AH121" s="246"/>
      <c r="AI121" s="246"/>
      <c r="AJ121" s="246"/>
    </row>
    <row r="122" spans="1:36" x14ac:dyDescent="0.3">
      <c r="A122" s="210">
        <v>1</v>
      </c>
      <c r="B122" s="223" t="s">
        <v>133</v>
      </c>
      <c r="C122" s="223" t="s">
        <v>251</v>
      </c>
      <c r="D122" s="223" t="s">
        <v>252</v>
      </c>
      <c r="E122" s="226" t="s">
        <v>253</v>
      </c>
      <c r="F122" s="223" t="s">
        <v>123</v>
      </c>
      <c r="G122" s="253">
        <v>3650</v>
      </c>
      <c r="H122" s="241" t="str">
        <f>IF(G122&lt;=0,"",IF(G122&lt;=2,"Muy Baja",IF(G122&lt;=24,"Baja",IF(G122&lt;=500,"Media",IF(G122&lt;=5000,"Alta","Muy Alta")))))</f>
        <v>Alta</v>
      </c>
      <c r="I122" s="232">
        <f>IF(H122="","",IF(H122="Muy Baja",0.2,IF(H122="Baja",0.4,IF(H122="Media",0.6,IF(H122="Alta",0.8,IF(H122="Muy Alta",1,))))))</f>
        <v>0.8</v>
      </c>
      <c r="J122" s="235" t="s">
        <v>143</v>
      </c>
      <c r="K122" s="238" t="str">
        <f>IF(NOT(ISERROR(MATCH(J122,'[3]Tabla Impacto'!$B$221:$B$223,0))),'[3]Tabla Impacto'!$F$223&amp;"Por favor no seleccionar los criterios de impacto(Afectación Económica o presupuestal y Pérdida Reputacional)",J122)</f>
        <v xml:space="preserve">     Afectación menor a 10 SMLMV .</v>
      </c>
      <c r="L122" s="241" t="str">
        <f>IF(OR(K122='[3]Tabla Impacto'!$C$11,K122='[3]Tabla Impacto'!$D$11),"Leve",IF(OR(K122='[3]Tabla Impacto'!$C$12,K122='[3]Tabla Impacto'!$D$12),"Menor",IF(OR(K122='[3]Tabla Impacto'!$C$13,K122='[3]Tabla Impacto'!$D$13),"Moderado",IF(OR(K122='[3]Tabla Impacto'!$C$14,K122='[3]Tabla Impacto'!$D$14),"Mayor",IF(OR(K122='[3]Tabla Impacto'!$C$15,K122='[3]Tabla Impacto'!$D$15),"Catastrófico","")))))</f>
        <v>Leve</v>
      </c>
      <c r="M122" s="232">
        <f>IF(L122="","",IF(L122="Leve",0.2,IF(L122="Menor",0.4,IF(L122="Moderado",0.6,IF(L122="Mayor",0.8,IF(L122="Catastrófico",1,))))))</f>
        <v>0.2</v>
      </c>
      <c r="N122" s="229" t="str">
        <f>IF(OR(AND(H122="Muy Baja",L122="Leve"),AND(H122="Muy Baja",L122="Menor"),AND(H122="Baja",L122="Leve")),"Bajo",IF(OR(AND(H122="Muy baja",L122="Moderado"),AND(H122="Baja",L122="Menor"),AND(H122="Baja",L122="Moderado"),AND(H122="Media",L122="Leve"),AND(H122="Media",L122="Menor"),AND(H122="Media",L122="Moderado"),AND(H122="Alta",L122="Leve"),AND(H122="Alta",L122="Menor")),"Moderado",IF(OR(AND(H122="Muy Baja",L122="Mayor"),AND(H122="Baja",L122="Mayor"),AND(H122="Media",L122="Mayor"),AND(H122="Alta",L122="Moderado"),AND(H122="Alta",L122="Mayor"),AND(H122="Muy Alta",L122="Leve"),AND(H122="Muy Alta",L122="Menor"),AND(H122="Muy Alta",L122="Moderado"),AND(H122="Muy Alta",L122="Mayor")),"Alto",IF(OR(AND(H122="Muy Baja",L122="Catastrófico"),AND(H122="Baja",L122="Catastrófico"),AND(H122="Media",L122="Catastrófico"),AND(H122="Alta",L122="Catastrófico"),AND(H122="Muy Alta",L122="Catastrófico")),"Extremo",""))))</f>
        <v>Moderado</v>
      </c>
      <c r="O122" s="210">
        <v>1</v>
      </c>
      <c r="P122" s="337" t="s">
        <v>254</v>
      </c>
      <c r="Q122" s="220" t="str">
        <f>IF(OR(R122="Preventivo",R122="Detectivo"),"Probabilidad",IF(R122="Correctivo","Impacto",""))</f>
        <v>Probabilidad</v>
      </c>
      <c r="R122" s="202" t="s">
        <v>14</v>
      </c>
      <c r="S122" s="202" t="s">
        <v>9</v>
      </c>
      <c r="T122" s="200" t="str">
        <f>IF(AND(R122="Preventivo",S122="Automático"),"50%",IF(AND(R122="Preventivo",S122="Manual"),"40%",IF(AND(R122="Detectivo",S122="Automático"),"40%",IF(AND(R122="Detectivo",S122="Manual"),"30%",IF(AND(R122="Correctivo",S122="Automático"),"35%",IF(AND(R122="Correctivo",S122="Manual"),"25%",""))))))</f>
        <v>40%</v>
      </c>
      <c r="U122" s="202" t="s">
        <v>19</v>
      </c>
      <c r="V122" s="202" t="s">
        <v>22</v>
      </c>
      <c r="W122" s="202" t="s">
        <v>119</v>
      </c>
      <c r="X122" s="139">
        <f>IFERROR(IF(Q122="Probabilidad",(I122-(+I122*T122)),IF(Q122="Impacto",I122,"")),"")</f>
        <v>0.48</v>
      </c>
      <c r="Y122" s="204" t="str">
        <f>IFERROR(IF(X122="","",IF(X122&lt;=0.2,"Muy Baja",IF(X122&lt;=0.4,"Baja",IF(X122&lt;=0.6,"Media",IF(X122&lt;=0.8,"Alta","Muy Alta"))))),"")</f>
        <v>Media</v>
      </c>
      <c r="Z122" s="200">
        <f>+X122</f>
        <v>0.48</v>
      </c>
      <c r="AA122" s="204" t="str">
        <f>IFERROR(IF(AB122="","",IF(AB122&lt;=0.2,"Leve",IF(AB122&lt;=0.4,"Menor",IF(AB122&lt;=0.6,"Moderado",IF(AB122&lt;=0.8,"Mayor","Catastrófico"))))),"")</f>
        <v>Leve</v>
      </c>
      <c r="AB122" s="200">
        <f>IFERROR(IF(Q122="Impacto",(M122-(+M122*T122)),IF(Q122="Probabilidad",M122,"")),"")</f>
        <v>0.2</v>
      </c>
      <c r="AC122" s="208" t="str">
        <f>IFERROR(IF(OR(AND(Y122="Muy Baja",AA122="Leve"),AND(Y122="Muy Baja",AA122="Menor"),AND(Y122="Baja",AA122="Leve")),"Bajo",IF(OR(AND(Y122="Muy baja",AA122="Moderado"),AND(Y122="Baja",AA122="Menor"),AND(Y122="Baja",AA122="Moderado"),AND(Y122="Media",AA122="Leve"),AND(Y122="Media",AA122="Menor"),AND(Y122="Media",AA122="Moderado"),AND(Y122="Alta",AA122="Leve"),AND(Y122="Alta",AA122="Menor")),"Moderado",IF(OR(AND(Y122="Muy Baja",AA122="Mayor"),AND(Y122="Baja",AA122="Mayor"),AND(Y122="Media",AA122="Mayor"),AND(Y122="Alta",AA122="Moderado"),AND(Y122="Alta",AA122="Mayor"),AND(Y122="Muy Alta",AA122="Leve"),AND(Y122="Muy Alta",AA122="Menor"),AND(Y122="Muy Alta",AA122="Moderado"),AND(Y122="Muy Alta",AA122="Mayor")),"Alto",IF(OR(AND(Y122="Muy Baja",AA122="Catastrófico"),AND(Y122="Baja",AA122="Catastrófico"),AND(Y122="Media",AA122="Catastrófico"),AND(Y122="Alta",AA122="Catastrófico"),AND(Y122="Muy Alta",AA122="Catastrófico")),"Extremo","")))),"")</f>
        <v>Moderado</v>
      </c>
      <c r="AD122" s="202" t="s">
        <v>32</v>
      </c>
      <c r="AE122" s="212"/>
      <c r="AF122" s="214"/>
      <c r="AG122" s="216"/>
      <c r="AH122" s="216"/>
      <c r="AI122" s="212"/>
      <c r="AJ122" s="214"/>
    </row>
    <row r="123" spans="1:36" ht="267" customHeight="1" x14ac:dyDescent="0.3">
      <c r="A123" s="222"/>
      <c r="B123" s="224"/>
      <c r="C123" s="224"/>
      <c r="D123" s="224"/>
      <c r="E123" s="227"/>
      <c r="F123" s="224"/>
      <c r="G123" s="254"/>
      <c r="H123" s="242"/>
      <c r="I123" s="233"/>
      <c r="J123" s="236"/>
      <c r="K123" s="239">
        <f ca="1">IF(NOT(ISERROR(MATCH(J123,_xlfn.ANCHORARRAY(E134),0))),I136&amp;"Por favor no seleccionar los criterios de impacto",J123)</f>
        <v>0</v>
      </c>
      <c r="L123" s="242"/>
      <c r="M123" s="233"/>
      <c r="N123" s="230"/>
      <c r="O123" s="211"/>
      <c r="P123" s="338"/>
      <c r="Q123" s="221"/>
      <c r="R123" s="203"/>
      <c r="S123" s="203"/>
      <c r="T123" s="201"/>
      <c r="U123" s="203"/>
      <c r="V123" s="203"/>
      <c r="W123" s="203"/>
      <c r="X123" s="127" t="str">
        <f>IFERROR(IF(AND(Q122="Probabilidad",Q123="Probabilidad"),(Z122-(+Z122*T123)),IF(Q123="Probabilidad",(I122-(+I122*T123)),IF(Q123="Impacto",Z122,""))),"")</f>
        <v/>
      </c>
      <c r="Y123" s="205"/>
      <c r="Z123" s="201"/>
      <c r="AA123" s="205"/>
      <c r="AB123" s="201"/>
      <c r="AC123" s="209"/>
      <c r="AD123" s="203"/>
      <c r="AE123" s="213"/>
      <c r="AF123" s="215"/>
      <c r="AG123" s="217"/>
      <c r="AH123" s="217"/>
      <c r="AI123" s="213"/>
      <c r="AJ123" s="215"/>
    </row>
    <row r="124" spans="1:36" hidden="1" x14ac:dyDescent="0.3">
      <c r="A124" s="222"/>
      <c r="B124" s="224"/>
      <c r="C124" s="224"/>
      <c r="D124" s="224"/>
      <c r="E124" s="227"/>
      <c r="F124" s="224"/>
      <c r="G124" s="254"/>
      <c r="H124" s="242"/>
      <c r="I124" s="233"/>
      <c r="J124" s="236"/>
      <c r="K124" s="239">
        <f ca="1">IF(NOT(ISERROR(MATCH(J124,_xlfn.ANCHORARRAY(E135),0))),I137&amp;"Por favor no seleccionar los criterios de impacto",J124)</f>
        <v>0</v>
      </c>
      <c r="L124" s="242"/>
      <c r="M124" s="233"/>
      <c r="N124" s="230"/>
      <c r="O124" s="138">
        <v>3</v>
      </c>
      <c r="P124" s="135"/>
      <c r="Q124" s="124" t="str">
        <f>IF(OR(R124="Preventivo",R124="Detectivo"),"Probabilidad",IF(R124="Correctivo","Impacto",""))</f>
        <v/>
      </c>
      <c r="R124" s="125"/>
      <c r="S124" s="125"/>
      <c r="T124" s="126" t="str">
        <f t="shared" ref="T124:T127" si="100">IF(AND(R124="Preventivo",S124="Automático"),"50%",IF(AND(R124="Preventivo",S124="Manual"),"40%",IF(AND(R124="Detectivo",S124="Automático"),"40%",IF(AND(R124="Detectivo",S124="Manual"),"30%",IF(AND(R124="Correctivo",S124="Automático"),"35%",IF(AND(R124="Correctivo",S124="Manual"),"25%",""))))))</f>
        <v/>
      </c>
      <c r="U124" s="125"/>
      <c r="V124" s="125"/>
      <c r="W124" s="125"/>
      <c r="X124" s="127" t="str">
        <f>IFERROR(IF(AND(Q123="Probabilidad",Q124="Probabilidad"),(Z123-(+Z123*T124)),IF(AND(Q123="Impacto",Q124="Probabilidad"),(Z122-(+Z122*T124)),IF(Q124="Impacto",Z123,""))),"")</f>
        <v/>
      </c>
      <c r="Y124" s="128" t="str">
        <f t="shared" ref="Y124:Y133" si="101">IFERROR(IF(X124="","",IF(X124&lt;=0.2,"Muy Baja",IF(X124&lt;=0.4,"Baja",IF(X124&lt;=0.6,"Media",IF(X124&lt;=0.8,"Alta","Muy Alta"))))),"")</f>
        <v/>
      </c>
      <c r="Z124" s="129" t="str">
        <f t="shared" ref="Z124:Z127" si="102">+X124</f>
        <v/>
      </c>
      <c r="AA124" s="128" t="str">
        <f t="shared" ref="AA124:AA133" si="103">IFERROR(IF(AB124="","",IF(AB124&lt;=0.2,"Leve",IF(AB124&lt;=0.4,"Menor",IF(AB124&lt;=0.6,"Moderado",IF(AB124&lt;=0.8,"Mayor","Catastrófico"))))),"")</f>
        <v/>
      </c>
      <c r="AB124" s="137" t="str">
        <f>IFERROR(IF(AND(Q123="Impacto",Q124="Impacto"),(AB123-(+AB123*T124)),IF(AND(Q123="Probabilidad",Q124="Impacto"),(AB122-(+AB122*T124)),IF(Q124="Probabilidad",AB123,""))),"")</f>
        <v/>
      </c>
      <c r="AC124" s="130" t="str">
        <f t="shared" ref="AC124:AC127" si="104">IFERROR(IF(OR(AND(Y124="Muy Baja",AA124="Leve"),AND(Y124="Muy Baja",AA124="Menor"),AND(Y124="Baja",AA124="Leve")),"Bajo",IF(OR(AND(Y124="Muy baja",AA124="Moderado"),AND(Y124="Baja",AA124="Menor"),AND(Y124="Baja",AA124="Moderado"),AND(Y124="Media",AA124="Leve"),AND(Y124="Media",AA124="Menor"),AND(Y124="Media",AA124="Moderado"),AND(Y124="Alta",AA124="Leve"),AND(Y124="Alta",AA124="Menor")),"Moderado",IF(OR(AND(Y124="Muy Baja",AA124="Mayor"),AND(Y124="Baja",AA124="Mayor"),AND(Y124="Media",AA124="Mayor"),AND(Y124="Alta",AA124="Moderado"),AND(Y124="Alta",AA124="Mayor"),AND(Y124="Muy Alta",AA124="Leve"),AND(Y124="Muy Alta",AA124="Menor"),AND(Y124="Muy Alta",AA124="Moderado"),AND(Y124="Muy Alta",AA124="Mayor")),"Alto",IF(OR(AND(Y124="Muy Baja",AA124="Catastrófico"),AND(Y124="Baja",AA124="Catastrófico"),AND(Y124="Media",AA124="Catastrófico"),AND(Y124="Alta",AA124="Catastrófico"),AND(Y124="Muy Alta",AA124="Catastrófico")),"Extremo","")))),"")</f>
        <v/>
      </c>
      <c r="AD124" s="131"/>
      <c r="AE124" s="132"/>
      <c r="AF124" s="133"/>
      <c r="AG124" s="134"/>
      <c r="AH124" s="134"/>
      <c r="AI124" s="132"/>
      <c r="AJ124" s="133"/>
    </row>
    <row r="125" spans="1:36" hidden="1" x14ac:dyDescent="0.3">
      <c r="A125" s="222"/>
      <c r="B125" s="224"/>
      <c r="C125" s="224"/>
      <c r="D125" s="224"/>
      <c r="E125" s="227"/>
      <c r="F125" s="224"/>
      <c r="G125" s="254"/>
      <c r="H125" s="242"/>
      <c r="I125" s="233"/>
      <c r="J125" s="236"/>
      <c r="K125" s="239">
        <f ca="1">IF(NOT(ISERROR(MATCH(J125,_xlfn.ANCHORARRAY(E136),0))),I138&amp;"Por favor no seleccionar los criterios de impacto",J125)</f>
        <v>0</v>
      </c>
      <c r="L125" s="242"/>
      <c r="M125" s="233"/>
      <c r="N125" s="230"/>
      <c r="O125" s="138">
        <v>4</v>
      </c>
      <c r="P125" s="123"/>
      <c r="Q125" s="124" t="str">
        <f t="shared" ref="Q125:Q127" si="105">IF(OR(R125="Preventivo",R125="Detectivo"),"Probabilidad",IF(R125="Correctivo","Impacto",""))</f>
        <v/>
      </c>
      <c r="R125" s="125"/>
      <c r="S125" s="125"/>
      <c r="T125" s="126" t="str">
        <f t="shared" si="100"/>
        <v/>
      </c>
      <c r="U125" s="125"/>
      <c r="V125" s="125"/>
      <c r="W125" s="125"/>
      <c r="X125" s="127" t="str">
        <f t="shared" ref="X125:X127" si="106">IFERROR(IF(AND(Q124="Probabilidad",Q125="Probabilidad"),(Z124-(+Z124*T125)),IF(AND(Q124="Impacto",Q125="Probabilidad"),(Z123-(+Z123*T125)),IF(Q125="Impacto",Z124,""))),"")</f>
        <v/>
      </c>
      <c r="Y125" s="128" t="str">
        <f t="shared" si="101"/>
        <v/>
      </c>
      <c r="Z125" s="129" t="str">
        <f t="shared" si="102"/>
        <v/>
      </c>
      <c r="AA125" s="128" t="str">
        <f t="shared" si="103"/>
        <v/>
      </c>
      <c r="AB125" s="137" t="str">
        <f t="shared" ref="AB125:AB127" si="107">IFERROR(IF(AND(Q124="Impacto",Q125="Impacto"),(AB124-(+AB124*T125)),IF(AND(Q124="Probabilidad",Q125="Impacto"),(AB123-(+AB123*T125)),IF(Q125="Probabilidad",AB124,""))),"")</f>
        <v/>
      </c>
      <c r="AC125" s="130" t="str">
        <f>IFERROR(IF(OR(AND(Y125="Muy Baja",AA125="Leve"),AND(Y125="Muy Baja",AA125="Menor"),AND(Y125="Baja",AA125="Leve")),"Bajo",IF(OR(AND(Y125="Muy baja",AA125="Moderado"),AND(Y125="Baja",AA125="Menor"),AND(Y125="Baja",AA125="Moderado"),AND(Y125="Media",AA125="Leve"),AND(Y125="Media",AA125="Menor"),AND(Y125="Media",AA125="Moderado"),AND(Y125="Alta",AA125="Leve"),AND(Y125="Alta",AA125="Menor")),"Moderado",IF(OR(AND(Y125="Muy Baja",AA125="Mayor"),AND(Y125="Baja",AA125="Mayor"),AND(Y125="Media",AA125="Mayor"),AND(Y125="Alta",AA125="Moderado"),AND(Y125="Alta",AA125="Mayor"),AND(Y125="Muy Alta",AA125="Leve"),AND(Y125="Muy Alta",AA125="Menor"),AND(Y125="Muy Alta",AA125="Moderado"),AND(Y125="Muy Alta",AA125="Mayor")),"Alto",IF(OR(AND(Y125="Muy Baja",AA125="Catastrófico"),AND(Y125="Baja",AA125="Catastrófico"),AND(Y125="Media",AA125="Catastrófico"),AND(Y125="Alta",AA125="Catastrófico"),AND(Y125="Muy Alta",AA125="Catastrófico")),"Extremo","")))),"")</f>
        <v/>
      </c>
      <c r="AD125" s="131"/>
      <c r="AE125" s="132"/>
      <c r="AF125" s="133"/>
      <c r="AG125" s="134"/>
      <c r="AH125" s="134"/>
      <c r="AI125" s="132"/>
      <c r="AJ125" s="133"/>
    </row>
    <row r="126" spans="1:36" hidden="1" x14ac:dyDescent="0.3">
      <c r="A126" s="222"/>
      <c r="B126" s="224"/>
      <c r="C126" s="224"/>
      <c r="D126" s="224"/>
      <c r="E126" s="227"/>
      <c r="F126" s="224"/>
      <c r="G126" s="254"/>
      <c r="H126" s="242"/>
      <c r="I126" s="233"/>
      <c r="J126" s="236"/>
      <c r="K126" s="239">
        <f ca="1">IF(NOT(ISERROR(MATCH(J126,_xlfn.ANCHORARRAY(E137),0))),I139&amp;"Por favor no seleccionar los criterios de impacto",J126)</f>
        <v>0</v>
      </c>
      <c r="L126" s="242"/>
      <c r="M126" s="233"/>
      <c r="N126" s="230"/>
      <c r="O126" s="138">
        <v>5</v>
      </c>
      <c r="P126" s="123"/>
      <c r="Q126" s="124" t="str">
        <f t="shared" si="105"/>
        <v/>
      </c>
      <c r="R126" s="125"/>
      <c r="S126" s="125"/>
      <c r="T126" s="126" t="str">
        <f t="shared" si="100"/>
        <v/>
      </c>
      <c r="U126" s="125"/>
      <c r="V126" s="125"/>
      <c r="W126" s="125"/>
      <c r="X126" s="127" t="str">
        <f t="shared" si="106"/>
        <v/>
      </c>
      <c r="Y126" s="128" t="str">
        <f t="shared" si="101"/>
        <v/>
      </c>
      <c r="Z126" s="129" t="str">
        <f t="shared" si="102"/>
        <v/>
      </c>
      <c r="AA126" s="128" t="str">
        <f t="shared" si="103"/>
        <v/>
      </c>
      <c r="AB126" s="137" t="str">
        <f t="shared" si="107"/>
        <v/>
      </c>
      <c r="AC126" s="130" t="str">
        <f t="shared" si="104"/>
        <v/>
      </c>
      <c r="AD126" s="131"/>
      <c r="AE126" s="132"/>
      <c r="AF126" s="133"/>
      <c r="AG126" s="134"/>
      <c r="AH126" s="134"/>
      <c r="AI126" s="132"/>
      <c r="AJ126" s="133"/>
    </row>
    <row r="127" spans="1:36" ht="129.75" hidden="1" customHeight="1" x14ac:dyDescent="0.3">
      <c r="A127" s="211"/>
      <c r="B127" s="225"/>
      <c r="C127" s="225"/>
      <c r="D127" s="225"/>
      <c r="E127" s="228"/>
      <c r="F127" s="225"/>
      <c r="G127" s="255"/>
      <c r="H127" s="243"/>
      <c r="I127" s="234"/>
      <c r="J127" s="237"/>
      <c r="K127" s="240">
        <f ca="1">IF(NOT(ISERROR(MATCH(J127,_xlfn.ANCHORARRAY(E138),0))),I140&amp;"Por favor no seleccionar los criterios de impacto",J127)</f>
        <v>0</v>
      </c>
      <c r="L127" s="243"/>
      <c r="M127" s="234"/>
      <c r="N127" s="231"/>
      <c r="O127" s="138">
        <v>6</v>
      </c>
      <c r="P127" s="123"/>
      <c r="Q127" s="124" t="str">
        <f t="shared" si="105"/>
        <v/>
      </c>
      <c r="R127" s="125"/>
      <c r="S127" s="125"/>
      <c r="T127" s="126" t="str">
        <f t="shared" si="100"/>
        <v/>
      </c>
      <c r="U127" s="125"/>
      <c r="V127" s="125"/>
      <c r="W127" s="125"/>
      <c r="X127" s="127" t="str">
        <f t="shared" si="106"/>
        <v/>
      </c>
      <c r="Y127" s="128" t="str">
        <f t="shared" si="101"/>
        <v/>
      </c>
      <c r="Z127" s="129" t="str">
        <f t="shared" si="102"/>
        <v/>
      </c>
      <c r="AA127" s="128" t="str">
        <f t="shared" si="103"/>
        <v/>
      </c>
      <c r="AB127" s="137" t="str">
        <f t="shared" si="107"/>
        <v/>
      </c>
      <c r="AC127" s="130" t="str">
        <f t="shared" si="104"/>
        <v/>
      </c>
      <c r="AD127" s="131"/>
      <c r="AE127" s="132"/>
      <c r="AF127" s="133"/>
      <c r="AG127" s="134"/>
      <c r="AH127" s="134"/>
      <c r="AI127" s="132"/>
      <c r="AJ127" s="133"/>
    </row>
    <row r="128" spans="1:36" x14ac:dyDescent="0.3">
      <c r="A128" s="210">
        <v>2</v>
      </c>
      <c r="B128" s="223" t="s">
        <v>133</v>
      </c>
      <c r="C128" s="223" t="s">
        <v>255</v>
      </c>
      <c r="D128" s="223" t="s">
        <v>256</v>
      </c>
      <c r="E128" s="226" t="s">
        <v>257</v>
      </c>
      <c r="F128" s="223" t="s">
        <v>123</v>
      </c>
      <c r="G128" s="253">
        <v>4380</v>
      </c>
      <c r="H128" s="241" t="str">
        <f>IF(G128&lt;=0,"",IF(G128&lt;=2,"Muy Baja",IF(G128&lt;=24,"Baja",IF(G128&lt;=500,"Media",IF(G128&lt;=5000,"Alta","Muy Alta")))))</f>
        <v>Alta</v>
      </c>
      <c r="I128" s="232">
        <f>IF(H128="","",IF(H128="Muy Baja",0.2,IF(H128="Baja",0.4,IF(H128="Media",0.6,IF(H128="Alta",0.8,IF(H128="Muy Alta",1,))))))</f>
        <v>0.8</v>
      </c>
      <c r="J128" s="235" t="s">
        <v>143</v>
      </c>
      <c r="K128" s="238" t="str">
        <f>IF(NOT(ISERROR(MATCH(J128,'[3]Tabla Impacto'!$B$221:$B$223,0))),'[3]Tabla Impacto'!$F$223&amp;"Por favor no seleccionar los criterios de impacto(Afectación Económica o presupuestal y Pérdida Reputacional)",J128)</f>
        <v xml:space="preserve">     Afectación menor a 10 SMLMV .</v>
      </c>
      <c r="L128" s="241" t="str">
        <f>IF(OR(K128='[3]Tabla Impacto'!$C$11,K128='[3]Tabla Impacto'!$D$11),"Leve",IF(OR(K128='[3]Tabla Impacto'!$C$12,K128='[3]Tabla Impacto'!$D$12),"Menor",IF(OR(K128='[3]Tabla Impacto'!$C$13,K128='[3]Tabla Impacto'!$D$13),"Moderado",IF(OR(K128='[3]Tabla Impacto'!$C$14,K128='[3]Tabla Impacto'!$D$14),"Mayor",IF(OR(K128='[3]Tabla Impacto'!$C$15,K128='[3]Tabla Impacto'!$D$15),"Catastrófico","")))))</f>
        <v>Leve</v>
      </c>
      <c r="M128" s="232">
        <f>IF(L128="","",IF(L128="Leve",0.2,IF(L128="Menor",0.4,IF(L128="Moderado",0.6,IF(L128="Mayor",0.8,IF(L128="Catastrófico",1,))))))</f>
        <v>0.2</v>
      </c>
      <c r="N128" s="229" t="str">
        <f>IF(OR(AND(H128="Muy Baja",L128="Leve"),AND(H128="Muy Baja",L128="Menor"),AND(H128="Baja",L128="Leve")),"Bajo",IF(OR(AND(H128="Muy baja",L128="Moderado"),AND(H128="Baja",L128="Menor"),AND(H128="Baja",L128="Moderado"),AND(H128="Media",L128="Leve"),AND(H128="Media",L128="Menor"),AND(H128="Media",L128="Moderado"),AND(H128="Alta",L128="Leve"),AND(H128="Alta",L128="Menor")),"Moderado",IF(OR(AND(H128="Muy Baja",L128="Mayor"),AND(H128="Baja",L128="Mayor"),AND(H128="Media",L128="Mayor"),AND(H128="Alta",L128="Moderado"),AND(H128="Alta",L128="Mayor"),AND(H128="Muy Alta",L128="Leve"),AND(H128="Muy Alta",L128="Menor"),AND(H128="Muy Alta",L128="Moderado"),AND(H128="Muy Alta",L128="Mayor")),"Alto",IF(OR(AND(H128="Muy Baja",L128="Catastrófico"),AND(H128="Baja",L128="Catastrófico"),AND(H128="Media",L128="Catastrófico"),AND(H128="Alta",L128="Catastrófico"),AND(H128="Muy Alta",L128="Catastrófico")),"Extremo",""))))</f>
        <v>Moderado</v>
      </c>
      <c r="O128" s="210">
        <v>2</v>
      </c>
      <c r="P128" s="218" t="s">
        <v>258</v>
      </c>
      <c r="Q128" s="220" t="str">
        <f>IF(OR(R128="Preventivo",R128="Detectivo"),"Probabilidad",IF(R128="Correctivo","Impacto",""))</f>
        <v>Probabilidad</v>
      </c>
      <c r="R128" s="202" t="s">
        <v>14</v>
      </c>
      <c r="S128" s="202" t="s">
        <v>9</v>
      </c>
      <c r="T128" s="200" t="str">
        <f>IF(AND(R128="Preventivo",S128="Automático"),"50%",IF(AND(R128="Preventivo",S128="Manual"),"40%",IF(AND(R128="Detectivo",S128="Automático"),"40%",IF(AND(R128="Detectivo",S128="Manual"),"30%",IF(AND(R128="Correctivo",S128="Automático"),"35%",IF(AND(R128="Correctivo",S128="Manual"),"25%",""))))))</f>
        <v>40%</v>
      </c>
      <c r="U128" s="202" t="s">
        <v>19</v>
      </c>
      <c r="V128" s="202" t="s">
        <v>22</v>
      </c>
      <c r="W128" s="202" t="s">
        <v>119</v>
      </c>
      <c r="X128" s="139">
        <f>IFERROR(IF(Q128="Probabilidad",(I128-(+I128*T128)),IF(Q128="Impacto",I128,"")),"")</f>
        <v>0.48</v>
      </c>
      <c r="Y128" s="204" t="str">
        <f>IFERROR(IF(X128="","",IF(X128&lt;=0.2,"Muy Baja",IF(X128&lt;=0.4,"Baja",IF(X128&lt;=0.6,"Media",IF(X128&lt;=0.8,"Alta","Muy Alta"))))),"")</f>
        <v>Media</v>
      </c>
      <c r="Z128" s="200">
        <f>+X128</f>
        <v>0.48</v>
      </c>
      <c r="AA128" s="204" t="str">
        <f>IFERROR(IF(AB128="","",IF(AB128&lt;=0.2,"Leve",IF(AB128&lt;=0.4,"Menor",IF(AB128&lt;=0.6,"Moderado",IF(AB128&lt;=0.8,"Mayor","Catastrófico"))))),"")</f>
        <v>Leve</v>
      </c>
      <c r="AB128" s="206">
        <f>IFERROR(IF(Q128="Impacto",(M128-(+M128*T128)),IF(Q128="Probabilidad",M128,"")),"")</f>
        <v>0.2</v>
      </c>
      <c r="AC128" s="208" t="str">
        <f>IFERROR(IF(OR(AND(Y128="Muy Baja",AA128="Leve"),AND(Y128="Muy Baja",AA128="Menor"),AND(Y128="Baja",AA128="Leve")),"Bajo",IF(OR(AND(Y128="Muy baja",AA128="Moderado"),AND(Y128="Baja",AA128="Menor"),AND(Y128="Baja",AA128="Moderado"),AND(Y128="Media",AA128="Leve"),AND(Y128="Media",AA128="Menor"),AND(Y128="Media",AA128="Moderado"),AND(Y128="Alta",AA128="Leve"),AND(Y128="Alta",AA128="Menor")),"Moderado",IF(OR(AND(Y128="Muy Baja",AA128="Mayor"),AND(Y128="Baja",AA128="Mayor"),AND(Y128="Media",AA128="Mayor"),AND(Y128="Alta",AA128="Moderado"),AND(Y128="Alta",AA128="Mayor"),AND(Y128="Muy Alta",AA128="Leve"),AND(Y128="Muy Alta",AA128="Menor"),AND(Y128="Muy Alta",AA128="Moderado"),AND(Y128="Muy Alta",AA128="Mayor")),"Alto",IF(OR(AND(Y128="Muy Baja",AA128="Catastrófico"),AND(Y128="Baja",AA128="Catastrófico"),AND(Y128="Media",AA128="Catastrófico"),AND(Y128="Alta",AA128="Catastrófico"),AND(Y128="Muy Alta",AA128="Catastrófico")),"Extremo","")))),"")</f>
        <v>Moderado</v>
      </c>
      <c r="AD128" s="202" t="s">
        <v>32</v>
      </c>
      <c r="AE128" s="212"/>
      <c r="AF128" s="214"/>
      <c r="AG128" s="216"/>
      <c r="AH128" s="216"/>
      <c r="AI128" s="212"/>
      <c r="AJ128" s="214"/>
    </row>
    <row r="129" spans="1:36" ht="229.5" customHeight="1" x14ac:dyDescent="0.3">
      <c r="A129" s="222"/>
      <c r="B129" s="224"/>
      <c r="C129" s="224"/>
      <c r="D129" s="224"/>
      <c r="E129" s="227"/>
      <c r="F129" s="224"/>
      <c r="G129" s="254"/>
      <c r="H129" s="242"/>
      <c r="I129" s="233"/>
      <c r="J129" s="236"/>
      <c r="K129" s="239">
        <f ca="1">IF(NOT(ISERROR(MATCH(J129,_xlfn.ANCHORARRAY(E140),0))),I142&amp;"Por favor no seleccionar los criterios de impacto",J129)</f>
        <v>0</v>
      </c>
      <c r="L129" s="242"/>
      <c r="M129" s="233"/>
      <c r="N129" s="230"/>
      <c r="O129" s="211"/>
      <c r="P129" s="219"/>
      <c r="Q129" s="221"/>
      <c r="R129" s="203"/>
      <c r="S129" s="203"/>
      <c r="T129" s="201"/>
      <c r="U129" s="203"/>
      <c r="V129" s="203"/>
      <c r="W129" s="203"/>
      <c r="X129" s="139" t="str">
        <f>IFERROR(IF(AND(Q128="Probabilidad",Q129="Probabilidad"),(Z128-(+Z128*T129)),IF(Q129="Probabilidad",(I128-(+I128*T129)),IF(Q129="Impacto",Z128,""))),"")</f>
        <v/>
      </c>
      <c r="Y129" s="205"/>
      <c r="Z129" s="201"/>
      <c r="AA129" s="205"/>
      <c r="AB129" s="207"/>
      <c r="AC129" s="209"/>
      <c r="AD129" s="203"/>
      <c r="AE129" s="213"/>
      <c r="AF129" s="215"/>
      <c r="AG129" s="217"/>
      <c r="AH129" s="217"/>
      <c r="AI129" s="213"/>
      <c r="AJ129" s="215"/>
    </row>
    <row r="130" spans="1:36" hidden="1" x14ac:dyDescent="0.3">
      <c r="A130" s="222"/>
      <c r="B130" s="224"/>
      <c r="C130" s="224"/>
      <c r="D130" s="224"/>
      <c r="E130" s="227"/>
      <c r="F130" s="224"/>
      <c r="G130" s="254"/>
      <c r="H130" s="242"/>
      <c r="I130" s="233"/>
      <c r="J130" s="236"/>
      <c r="K130" s="239">
        <f ca="1">IF(NOT(ISERROR(MATCH(J130,_xlfn.ANCHORARRAY(E141),0))),I143&amp;"Por favor no seleccionar los criterios de impacto",J130)</f>
        <v>0</v>
      </c>
      <c r="L130" s="242"/>
      <c r="M130" s="233"/>
      <c r="N130" s="230"/>
      <c r="O130" s="138">
        <v>3</v>
      </c>
      <c r="P130" s="135"/>
      <c r="Q130" s="124" t="str">
        <f>IF(OR(R130="Preventivo",R130="Detectivo"),"Probabilidad",IF(R130="Correctivo","Impacto",""))</f>
        <v/>
      </c>
      <c r="R130" s="125"/>
      <c r="S130" s="125"/>
      <c r="T130" s="126" t="str">
        <f t="shared" ref="T130:T133" si="108">IF(AND(R130="Preventivo",S130="Automático"),"50%",IF(AND(R130="Preventivo",S130="Manual"),"40%",IF(AND(R130="Detectivo",S130="Automático"),"40%",IF(AND(R130="Detectivo",S130="Manual"),"30%",IF(AND(R130="Correctivo",S130="Automático"),"35%",IF(AND(R130="Correctivo",S130="Manual"),"25%",""))))))</f>
        <v/>
      </c>
      <c r="U130" s="125"/>
      <c r="V130" s="125"/>
      <c r="W130" s="125"/>
      <c r="X130" s="127" t="str">
        <f>IFERROR(IF(AND(Q129="Probabilidad",Q130="Probabilidad"),(Z129-(+Z129*T130)),IF(AND(Q129="Impacto",Q130="Probabilidad"),(Z128-(+Z128*T130)),IF(Q130="Impacto",Z129,""))),"")</f>
        <v/>
      </c>
      <c r="Y130" s="128" t="str">
        <f t="shared" si="101"/>
        <v/>
      </c>
      <c r="Z130" s="129" t="str">
        <f t="shared" ref="Z130:Z133" si="109">+X130</f>
        <v/>
      </c>
      <c r="AA130" s="128" t="str">
        <f t="shared" si="103"/>
        <v/>
      </c>
      <c r="AB130" s="137" t="str">
        <f>IFERROR(IF(AND(Q129="Impacto",Q130="Impacto"),(AB129-(+AB129*T130)),IF(AND(Q129="Probabilidad",Q130="Impacto"),(AB128-(+AB128*T130)),IF(Q130="Probabilidad",AB129,""))),"")</f>
        <v/>
      </c>
      <c r="AC130" s="130" t="str">
        <f t="shared" ref="AC130" si="110">IFERROR(IF(OR(AND(Y130="Muy Baja",AA130="Leve"),AND(Y130="Muy Baja",AA130="Menor"),AND(Y130="Baja",AA130="Leve")),"Bajo",IF(OR(AND(Y130="Muy baja",AA130="Moderado"),AND(Y130="Baja",AA130="Menor"),AND(Y130="Baja",AA130="Moderado"),AND(Y130="Media",AA130="Leve"),AND(Y130="Media",AA130="Menor"),AND(Y130="Media",AA130="Moderado"),AND(Y130="Alta",AA130="Leve"),AND(Y130="Alta",AA130="Menor")),"Moderado",IF(OR(AND(Y130="Muy Baja",AA130="Mayor"),AND(Y130="Baja",AA130="Mayor"),AND(Y130="Media",AA130="Mayor"),AND(Y130="Alta",AA130="Moderado"),AND(Y130="Alta",AA130="Mayor"),AND(Y130="Muy Alta",AA130="Leve"),AND(Y130="Muy Alta",AA130="Menor"),AND(Y130="Muy Alta",AA130="Moderado"),AND(Y130="Muy Alta",AA130="Mayor")),"Alto",IF(OR(AND(Y130="Muy Baja",AA130="Catastrófico"),AND(Y130="Baja",AA130="Catastrófico"),AND(Y130="Media",AA130="Catastrófico"),AND(Y130="Alta",AA130="Catastrófico"),AND(Y130="Muy Alta",AA130="Catastrófico")),"Extremo","")))),"")</f>
        <v/>
      </c>
      <c r="AD130" s="131"/>
      <c r="AE130" s="132"/>
      <c r="AF130" s="133"/>
      <c r="AG130" s="134"/>
      <c r="AH130" s="134"/>
      <c r="AI130" s="132"/>
      <c r="AJ130" s="133"/>
    </row>
    <row r="131" spans="1:36" hidden="1" x14ac:dyDescent="0.3">
      <c r="A131" s="222"/>
      <c r="B131" s="224"/>
      <c r="C131" s="224"/>
      <c r="D131" s="224"/>
      <c r="E131" s="227"/>
      <c r="F131" s="224"/>
      <c r="G131" s="254"/>
      <c r="H131" s="242"/>
      <c r="I131" s="233"/>
      <c r="J131" s="236"/>
      <c r="K131" s="239">
        <f ca="1">IF(NOT(ISERROR(MATCH(J131,_xlfn.ANCHORARRAY(E142),0))),I144&amp;"Por favor no seleccionar los criterios de impacto",J131)</f>
        <v>0</v>
      </c>
      <c r="L131" s="242"/>
      <c r="M131" s="233"/>
      <c r="N131" s="230"/>
      <c r="O131" s="138">
        <v>4</v>
      </c>
      <c r="P131" s="123"/>
      <c r="Q131" s="124" t="str">
        <f t="shared" ref="Q131:Q133" si="111">IF(OR(R131="Preventivo",R131="Detectivo"),"Probabilidad",IF(R131="Correctivo","Impacto",""))</f>
        <v/>
      </c>
      <c r="R131" s="125"/>
      <c r="S131" s="125"/>
      <c r="T131" s="126" t="str">
        <f t="shared" si="108"/>
        <v/>
      </c>
      <c r="U131" s="125"/>
      <c r="V131" s="125"/>
      <c r="W131" s="125"/>
      <c r="X131" s="127" t="str">
        <f t="shared" ref="X131:X133" si="112">IFERROR(IF(AND(Q130="Probabilidad",Q131="Probabilidad"),(Z130-(+Z130*T131)),IF(AND(Q130="Impacto",Q131="Probabilidad"),(Z129-(+Z129*T131)),IF(Q131="Impacto",Z130,""))),"")</f>
        <v/>
      </c>
      <c r="Y131" s="128" t="str">
        <f t="shared" si="101"/>
        <v/>
      </c>
      <c r="Z131" s="129" t="str">
        <f t="shared" si="109"/>
        <v/>
      </c>
      <c r="AA131" s="128" t="str">
        <f t="shared" si="103"/>
        <v/>
      </c>
      <c r="AB131" s="137" t="str">
        <f t="shared" ref="AB131:AB133" si="113">IFERROR(IF(AND(Q130="Impacto",Q131="Impacto"),(AB130-(+AB130*T131)),IF(AND(Q130="Probabilidad",Q131="Impacto"),(AB129-(+AB129*T131)),IF(Q131="Probabilidad",AB130,""))),"")</f>
        <v/>
      </c>
      <c r="AC131" s="130" t="str">
        <f>IFERROR(IF(OR(AND(Y131="Muy Baja",AA131="Leve"),AND(Y131="Muy Baja",AA131="Menor"),AND(Y131="Baja",AA131="Leve")),"Bajo",IF(OR(AND(Y131="Muy baja",AA131="Moderado"),AND(Y131="Baja",AA131="Menor"),AND(Y131="Baja",AA131="Moderado"),AND(Y131="Media",AA131="Leve"),AND(Y131="Media",AA131="Menor"),AND(Y131="Media",AA131="Moderado"),AND(Y131="Alta",AA131="Leve"),AND(Y131="Alta",AA131="Menor")),"Moderado",IF(OR(AND(Y131="Muy Baja",AA131="Mayor"),AND(Y131="Baja",AA131="Mayor"),AND(Y131="Media",AA131="Mayor"),AND(Y131="Alta",AA131="Moderado"),AND(Y131="Alta",AA131="Mayor"),AND(Y131="Muy Alta",AA131="Leve"),AND(Y131="Muy Alta",AA131="Menor"),AND(Y131="Muy Alta",AA131="Moderado"),AND(Y131="Muy Alta",AA131="Mayor")),"Alto",IF(OR(AND(Y131="Muy Baja",AA131="Catastrófico"),AND(Y131="Baja",AA131="Catastrófico"),AND(Y131="Media",AA131="Catastrófico"),AND(Y131="Alta",AA131="Catastrófico"),AND(Y131="Muy Alta",AA131="Catastrófico")),"Extremo","")))),"")</f>
        <v/>
      </c>
      <c r="AD131" s="131"/>
      <c r="AE131" s="132"/>
      <c r="AF131" s="133"/>
      <c r="AG131" s="134"/>
      <c r="AH131" s="134"/>
      <c r="AI131" s="132"/>
      <c r="AJ131" s="133"/>
    </row>
    <row r="132" spans="1:36" hidden="1" x14ac:dyDescent="0.3">
      <c r="A132" s="222"/>
      <c r="B132" s="224"/>
      <c r="C132" s="224"/>
      <c r="D132" s="224"/>
      <c r="E132" s="227"/>
      <c r="F132" s="224"/>
      <c r="G132" s="254"/>
      <c r="H132" s="242"/>
      <c r="I132" s="233"/>
      <c r="J132" s="236"/>
      <c r="K132" s="239">
        <f ca="1">IF(NOT(ISERROR(MATCH(J132,_xlfn.ANCHORARRAY(E143),0))),I145&amp;"Por favor no seleccionar los criterios de impacto",J132)</f>
        <v>0</v>
      </c>
      <c r="L132" s="242"/>
      <c r="M132" s="233"/>
      <c r="N132" s="230"/>
      <c r="O132" s="138">
        <v>5</v>
      </c>
      <c r="P132" s="123"/>
      <c r="Q132" s="124" t="str">
        <f t="shared" si="111"/>
        <v/>
      </c>
      <c r="R132" s="125"/>
      <c r="S132" s="125"/>
      <c r="T132" s="126" t="str">
        <f t="shared" si="108"/>
        <v/>
      </c>
      <c r="U132" s="125"/>
      <c r="V132" s="125"/>
      <c r="W132" s="125"/>
      <c r="X132" s="127" t="str">
        <f t="shared" si="112"/>
        <v/>
      </c>
      <c r="Y132" s="128" t="str">
        <f t="shared" si="101"/>
        <v/>
      </c>
      <c r="Z132" s="129" t="str">
        <f t="shared" si="109"/>
        <v/>
      </c>
      <c r="AA132" s="128" t="str">
        <f t="shared" si="103"/>
        <v/>
      </c>
      <c r="AB132" s="137" t="str">
        <f t="shared" si="113"/>
        <v/>
      </c>
      <c r="AC132" s="130" t="str">
        <f t="shared" ref="AC132:AC133" si="114">IFERROR(IF(OR(AND(Y132="Muy Baja",AA132="Leve"),AND(Y132="Muy Baja",AA132="Menor"),AND(Y132="Baja",AA132="Leve")),"Bajo",IF(OR(AND(Y132="Muy baja",AA132="Moderado"),AND(Y132="Baja",AA132="Menor"),AND(Y132="Baja",AA132="Moderado"),AND(Y132="Media",AA132="Leve"),AND(Y132="Media",AA132="Menor"),AND(Y132="Media",AA132="Moderado"),AND(Y132="Alta",AA132="Leve"),AND(Y132="Alta",AA132="Menor")),"Moderado",IF(OR(AND(Y132="Muy Baja",AA132="Mayor"),AND(Y132="Baja",AA132="Mayor"),AND(Y132="Media",AA132="Mayor"),AND(Y132="Alta",AA132="Moderado"),AND(Y132="Alta",AA132="Mayor"),AND(Y132="Muy Alta",AA132="Leve"),AND(Y132="Muy Alta",AA132="Menor"),AND(Y132="Muy Alta",AA132="Moderado"),AND(Y132="Muy Alta",AA132="Mayor")),"Alto",IF(OR(AND(Y132="Muy Baja",AA132="Catastrófico"),AND(Y132="Baja",AA132="Catastrófico"),AND(Y132="Media",AA132="Catastrófico"),AND(Y132="Alta",AA132="Catastrófico"),AND(Y132="Muy Alta",AA132="Catastrófico")),"Extremo","")))),"")</f>
        <v/>
      </c>
      <c r="AD132" s="131"/>
      <c r="AE132" s="132"/>
      <c r="AF132" s="133"/>
      <c r="AG132" s="134"/>
      <c r="AH132" s="134"/>
      <c r="AI132" s="132"/>
      <c r="AJ132" s="133"/>
    </row>
    <row r="133" spans="1:36" ht="51.75" hidden="1" customHeight="1" x14ac:dyDescent="0.3">
      <c r="A133" s="211"/>
      <c r="B133" s="225"/>
      <c r="C133" s="225"/>
      <c r="D133" s="225"/>
      <c r="E133" s="228"/>
      <c r="F133" s="225"/>
      <c r="G133" s="255"/>
      <c r="H133" s="243"/>
      <c r="I133" s="234"/>
      <c r="J133" s="237"/>
      <c r="K133" s="240">
        <f ca="1">IF(NOT(ISERROR(MATCH(J133,_xlfn.ANCHORARRAY(E144),0))),I146&amp;"Por favor no seleccionar los criterios de impacto",J133)</f>
        <v>0</v>
      </c>
      <c r="L133" s="243"/>
      <c r="M133" s="234"/>
      <c r="N133" s="231"/>
      <c r="O133" s="138">
        <v>6</v>
      </c>
      <c r="P133" s="123"/>
      <c r="Q133" s="124" t="str">
        <f t="shared" si="111"/>
        <v/>
      </c>
      <c r="R133" s="125"/>
      <c r="S133" s="125"/>
      <c r="T133" s="126" t="str">
        <f t="shared" si="108"/>
        <v/>
      </c>
      <c r="U133" s="125"/>
      <c r="V133" s="125"/>
      <c r="W133" s="125"/>
      <c r="X133" s="127" t="str">
        <f t="shared" si="112"/>
        <v/>
      </c>
      <c r="Y133" s="128" t="str">
        <f t="shared" si="101"/>
        <v/>
      </c>
      <c r="Z133" s="129" t="str">
        <f t="shared" si="109"/>
        <v/>
      </c>
      <c r="AA133" s="128" t="str">
        <f t="shared" si="103"/>
        <v/>
      </c>
      <c r="AB133" s="137" t="str">
        <f t="shared" si="113"/>
        <v/>
      </c>
      <c r="AC133" s="130" t="str">
        <f t="shared" si="114"/>
        <v/>
      </c>
      <c r="AD133" s="131"/>
      <c r="AE133" s="132"/>
      <c r="AF133" s="133"/>
      <c r="AG133" s="134"/>
      <c r="AH133" s="134"/>
      <c r="AI133" s="132"/>
      <c r="AJ133" s="133"/>
    </row>
    <row r="134" spans="1:36" hidden="1" x14ac:dyDescent="0.3"/>
    <row r="135" spans="1:36" x14ac:dyDescent="0.3">
      <c r="A135" s="290" t="s">
        <v>222</v>
      </c>
      <c r="B135" s="291"/>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2"/>
    </row>
    <row r="136" spans="1:36" x14ac:dyDescent="0.3">
      <c r="A136" s="293"/>
      <c r="B136" s="294"/>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c r="AG136" s="294"/>
      <c r="AH136" s="294"/>
      <c r="AI136" s="294"/>
      <c r="AJ136" s="295"/>
    </row>
    <row r="137" spans="1:36" hidden="1" x14ac:dyDescent="0.3">
      <c r="A137" s="26"/>
      <c r="B137" s="27"/>
      <c r="C137" s="26"/>
      <c r="D137" s="26"/>
      <c r="E137" s="7"/>
      <c r="F137" s="25"/>
      <c r="G137" s="7"/>
      <c r="H137" s="7"/>
      <c r="I137" s="7"/>
      <c r="J137" s="7"/>
      <c r="K137" s="7"/>
      <c r="L137" s="7"/>
      <c r="M137" s="7"/>
      <c r="N137" s="7"/>
      <c r="O137" s="24"/>
      <c r="P137" s="7"/>
      <c r="Q137" s="7"/>
      <c r="R137" s="7"/>
      <c r="S137" s="7"/>
      <c r="T137" s="7"/>
      <c r="U137" s="7"/>
      <c r="V137" s="7"/>
      <c r="W137" s="7"/>
      <c r="X137" s="7"/>
      <c r="Y137" s="7"/>
      <c r="Z137" s="7"/>
      <c r="AA137" s="7"/>
      <c r="AB137" s="7"/>
      <c r="AC137" s="7"/>
      <c r="AD137" s="7"/>
      <c r="AE137" s="7"/>
      <c r="AF137" s="7"/>
      <c r="AG137" s="7"/>
      <c r="AH137" s="7"/>
      <c r="AI137" s="7"/>
      <c r="AJ137" s="7"/>
    </row>
    <row r="138" spans="1:36" ht="23.25" x14ac:dyDescent="0.3">
      <c r="A138" s="256" t="s">
        <v>43</v>
      </c>
      <c r="B138" s="257"/>
      <c r="C138" s="263" t="s">
        <v>259</v>
      </c>
      <c r="D138" s="264"/>
      <c r="E138" s="264"/>
      <c r="F138" s="264"/>
      <c r="G138" s="264"/>
      <c r="H138" s="264"/>
      <c r="I138" s="264"/>
      <c r="J138" s="264"/>
      <c r="K138" s="264"/>
      <c r="L138" s="264"/>
      <c r="M138" s="264"/>
      <c r="N138" s="265"/>
      <c r="O138" s="296"/>
      <c r="P138" s="296"/>
      <c r="Q138" s="296"/>
      <c r="R138" s="7"/>
      <c r="S138" s="7"/>
      <c r="T138" s="7"/>
      <c r="U138" s="7"/>
      <c r="V138" s="7"/>
      <c r="W138" s="7"/>
      <c r="X138" s="7"/>
      <c r="Y138" s="7"/>
      <c r="Z138" s="7"/>
      <c r="AA138" s="7"/>
      <c r="AB138" s="7"/>
      <c r="AC138" s="7"/>
      <c r="AD138" s="7"/>
      <c r="AE138" s="7"/>
      <c r="AF138" s="7"/>
      <c r="AG138" s="7"/>
      <c r="AH138" s="7"/>
      <c r="AI138" s="7"/>
      <c r="AJ138" s="7"/>
    </row>
    <row r="139" spans="1:36" ht="45" customHeight="1" x14ac:dyDescent="0.3">
      <c r="A139" s="256" t="s">
        <v>130</v>
      </c>
      <c r="B139" s="257"/>
      <c r="C139" s="266" t="s">
        <v>260</v>
      </c>
      <c r="D139" s="264"/>
      <c r="E139" s="264"/>
      <c r="F139" s="264"/>
      <c r="G139" s="264"/>
      <c r="H139" s="264"/>
      <c r="I139" s="264"/>
      <c r="J139" s="264"/>
      <c r="K139" s="264"/>
      <c r="L139" s="264"/>
      <c r="M139" s="264"/>
      <c r="N139" s="265"/>
      <c r="O139" s="24"/>
      <c r="P139" s="7"/>
      <c r="Q139" s="7"/>
      <c r="R139" s="7"/>
      <c r="S139" s="7"/>
      <c r="T139" s="7"/>
      <c r="U139" s="7"/>
      <c r="V139" s="7"/>
      <c r="W139" s="7"/>
      <c r="X139" s="7"/>
      <c r="Y139" s="7"/>
      <c r="Z139" s="7"/>
      <c r="AA139" s="7"/>
      <c r="AB139" s="7"/>
      <c r="AC139" s="7"/>
      <c r="AD139" s="7"/>
      <c r="AE139" s="7"/>
      <c r="AF139" s="7"/>
      <c r="AG139" s="7"/>
      <c r="AH139" s="7"/>
      <c r="AI139" s="7"/>
      <c r="AJ139" s="7"/>
    </row>
    <row r="140" spans="1:36" ht="23.25" x14ac:dyDescent="0.3">
      <c r="A140" s="256" t="s">
        <v>44</v>
      </c>
      <c r="B140" s="257"/>
      <c r="C140" s="266" t="s">
        <v>261</v>
      </c>
      <c r="D140" s="267"/>
      <c r="E140" s="267"/>
      <c r="F140" s="267"/>
      <c r="G140" s="267"/>
      <c r="H140" s="267"/>
      <c r="I140" s="267"/>
      <c r="J140" s="267"/>
      <c r="K140" s="267"/>
      <c r="L140" s="267"/>
      <c r="M140" s="267"/>
      <c r="N140" s="268"/>
      <c r="O140" s="24"/>
      <c r="P140" s="7"/>
      <c r="Q140" s="7"/>
      <c r="R140" s="7"/>
      <c r="S140" s="7"/>
      <c r="T140" s="7"/>
      <c r="U140" s="7"/>
      <c r="V140" s="7"/>
      <c r="W140" s="7"/>
      <c r="X140" s="7"/>
      <c r="Y140" s="7"/>
      <c r="Z140" s="7"/>
      <c r="AA140" s="7"/>
      <c r="AB140" s="7"/>
      <c r="AC140" s="7"/>
      <c r="AD140" s="7"/>
      <c r="AE140" s="7"/>
      <c r="AF140" s="7"/>
      <c r="AG140" s="7"/>
      <c r="AH140" s="7"/>
      <c r="AI140" s="7"/>
      <c r="AJ140" s="7"/>
    </row>
    <row r="141" spans="1:36" x14ac:dyDescent="0.3">
      <c r="A141" s="297" t="s">
        <v>138</v>
      </c>
      <c r="B141" s="298"/>
      <c r="C141" s="298"/>
      <c r="D141" s="298"/>
      <c r="E141" s="298"/>
      <c r="F141" s="298"/>
      <c r="G141" s="299"/>
      <c r="H141" s="297" t="s">
        <v>139</v>
      </c>
      <c r="I141" s="298"/>
      <c r="J141" s="298"/>
      <c r="K141" s="298"/>
      <c r="L141" s="298"/>
      <c r="M141" s="298"/>
      <c r="N141" s="299"/>
      <c r="O141" s="297" t="s">
        <v>140</v>
      </c>
      <c r="P141" s="298"/>
      <c r="Q141" s="298"/>
      <c r="R141" s="298"/>
      <c r="S141" s="298"/>
      <c r="T141" s="298"/>
      <c r="U141" s="298"/>
      <c r="V141" s="298"/>
      <c r="W141" s="299"/>
      <c r="X141" s="297" t="s">
        <v>141</v>
      </c>
      <c r="Y141" s="298"/>
      <c r="Z141" s="298"/>
      <c r="AA141" s="298"/>
      <c r="AB141" s="298"/>
      <c r="AC141" s="298"/>
      <c r="AD141" s="299"/>
      <c r="AE141" s="297" t="s">
        <v>34</v>
      </c>
      <c r="AF141" s="298"/>
      <c r="AG141" s="298"/>
      <c r="AH141" s="298"/>
      <c r="AI141" s="298"/>
      <c r="AJ141" s="299"/>
    </row>
    <row r="142" spans="1:36" x14ac:dyDescent="0.3">
      <c r="A142" s="258" t="s">
        <v>0</v>
      </c>
      <c r="B142" s="251" t="s">
        <v>2</v>
      </c>
      <c r="C142" s="245" t="s">
        <v>3</v>
      </c>
      <c r="D142" s="245" t="s">
        <v>42</v>
      </c>
      <c r="E142" s="260" t="s">
        <v>1</v>
      </c>
      <c r="F142" s="252" t="s">
        <v>50</v>
      </c>
      <c r="G142" s="245" t="s">
        <v>134</v>
      </c>
      <c r="H142" s="247" t="s">
        <v>33</v>
      </c>
      <c r="I142" s="248" t="s">
        <v>5</v>
      </c>
      <c r="J142" s="252" t="s">
        <v>87</v>
      </c>
      <c r="K142" s="252" t="s">
        <v>92</v>
      </c>
      <c r="L142" s="250" t="s">
        <v>45</v>
      </c>
      <c r="M142" s="248" t="s">
        <v>5</v>
      </c>
      <c r="N142" s="245" t="s">
        <v>48</v>
      </c>
      <c r="O142" s="261" t="s">
        <v>11</v>
      </c>
      <c r="P142" s="246" t="s">
        <v>160</v>
      </c>
      <c r="Q142" s="252" t="s">
        <v>12</v>
      </c>
      <c r="R142" s="246" t="s">
        <v>8</v>
      </c>
      <c r="S142" s="246"/>
      <c r="T142" s="246"/>
      <c r="U142" s="246"/>
      <c r="V142" s="246"/>
      <c r="W142" s="246"/>
      <c r="X142" s="244" t="s">
        <v>137</v>
      </c>
      <c r="Y142" s="244" t="s">
        <v>46</v>
      </c>
      <c r="Z142" s="244" t="s">
        <v>5</v>
      </c>
      <c r="AA142" s="244" t="s">
        <v>47</v>
      </c>
      <c r="AB142" s="244" t="s">
        <v>5</v>
      </c>
      <c r="AC142" s="244" t="s">
        <v>49</v>
      </c>
      <c r="AD142" s="261" t="s">
        <v>29</v>
      </c>
      <c r="AE142" s="246" t="s">
        <v>34</v>
      </c>
      <c r="AF142" s="246" t="s">
        <v>35</v>
      </c>
      <c r="AG142" s="246" t="s">
        <v>36</v>
      </c>
      <c r="AH142" s="246" t="s">
        <v>38</v>
      </c>
      <c r="AI142" s="246" t="s">
        <v>37</v>
      </c>
      <c r="AJ142" s="246" t="s">
        <v>39</v>
      </c>
    </row>
    <row r="143" spans="1:36" ht="78.75" x14ac:dyDescent="0.3">
      <c r="A143" s="259"/>
      <c r="B143" s="251"/>
      <c r="C143" s="246"/>
      <c r="D143" s="246"/>
      <c r="E143" s="251"/>
      <c r="F143" s="245"/>
      <c r="G143" s="246"/>
      <c r="H143" s="245"/>
      <c r="I143" s="249"/>
      <c r="J143" s="245"/>
      <c r="K143" s="245"/>
      <c r="L143" s="249"/>
      <c r="M143" s="249"/>
      <c r="N143" s="246"/>
      <c r="O143" s="262"/>
      <c r="P143" s="246"/>
      <c r="Q143" s="245"/>
      <c r="R143" s="6" t="s">
        <v>13</v>
      </c>
      <c r="S143" s="6" t="s">
        <v>17</v>
      </c>
      <c r="T143" s="6" t="s">
        <v>28</v>
      </c>
      <c r="U143" s="6" t="s">
        <v>18</v>
      </c>
      <c r="V143" s="6" t="s">
        <v>21</v>
      </c>
      <c r="W143" s="6" t="s">
        <v>24</v>
      </c>
      <c r="X143" s="244"/>
      <c r="Y143" s="244"/>
      <c r="Z143" s="244"/>
      <c r="AA143" s="244"/>
      <c r="AB143" s="244"/>
      <c r="AC143" s="244"/>
      <c r="AD143" s="262"/>
      <c r="AE143" s="246"/>
      <c r="AF143" s="246"/>
      <c r="AG143" s="246"/>
      <c r="AH143" s="246"/>
      <c r="AI143" s="246"/>
      <c r="AJ143" s="246"/>
    </row>
    <row r="144" spans="1:36" x14ac:dyDescent="0.3">
      <c r="A144" s="210">
        <v>1</v>
      </c>
      <c r="B144" s="223" t="s">
        <v>132</v>
      </c>
      <c r="C144" s="223" t="s">
        <v>262</v>
      </c>
      <c r="D144" s="223" t="s">
        <v>263</v>
      </c>
      <c r="E144" s="226" t="s">
        <v>264</v>
      </c>
      <c r="F144" s="223" t="s">
        <v>129</v>
      </c>
      <c r="G144" s="253">
        <f>52*5*5+52*2*2</f>
        <v>1508</v>
      </c>
      <c r="H144" s="241" t="str">
        <f>IF(G144&lt;=0,"",IF(G144&lt;=2,"Muy Baja",IF(G144&lt;=24,"Baja",IF(G144&lt;=500,"Media",IF(G144&lt;=5000,"Alta","Muy Alta")))))</f>
        <v>Alta</v>
      </c>
      <c r="I144" s="232">
        <f>IF(H144="","",IF(H144="Muy Baja",0.2,IF(H144="Baja",0.4,IF(H144="Media",0.6,IF(H144="Alta",0.8,IF(H144="Muy Alta",1,))))))</f>
        <v>0.8</v>
      </c>
      <c r="J144" s="235" t="s">
        <v>148</v>
      </c>
      <c r="K144" s="238" t="str">
        <f>IF(NOT(ISERROR(MATCH(J144,'[4]Tabla Impacto'!$B$221:$B$223,0))),'[4]Tabla Impacto'!$F$223&amp;"Por favor no seleccionar los criterios de impacto(Afectación Económica o presupuestal y Pérdida Reputacional)",J144)</f>
        <v xml:space="preserve">     Entre 100 y 500 SMLMV </v>
      </c>
      <c r="L144" s="241" t="str">
        <f>IF(OR(K144='[4]Tabla Impacto'!$C$11,K144='[4]Tabla Impacto'!$D$11),"Leve",IF(OR(K144='[4]Tabla Impacto'!$C$12,K144='[4]Tabla Impacto'!$D$12),"Menor",IF(OR(K144='[4]Tabla Impacto'!$C$13,K144='[4]Tabla Impacto'!$D$13),"Moderado",IF(OR(K144='[4]Tabla Impacto'!$C$14,K144='[4]Tabla Impacto'!$D$14),"Mayor",IF(OR(K144='[4]Tabla Impacto'!$C$15,K144='[4]Tabla Impacto'!$D$15),"Catastrófico","")))))</f>
        <v>Mayor</v>
      </c>
      <c r="M144" s="232">
        <f>IF(L144="","",IF(L144="Leve",0.2,IF(L144="Menor",0.4,IF(L144="Moderado",0.6,IF(L144="Mayor",0.8,IF(L144="Catastrófico",1,))))))</f>
        <v>0.8</v>
      </c>
      <c r="N144" s="229" t="str">
        <f>IF(OR(AND(H144="Muy Baja",L144="Leve"),AND(H144="Muy Baja",L144="Menor"),AND(H144="Baja",L144="Leve")),"Bajo",IF(OR(AND(H144="Muy baja",L144="Moderado"),AND(H144="Baja",L144="Menor"),AND(H144="Baja",L144="Moderado"),AND(H144="Media",L144="Leve"),AND(H144="Media",L144="Menor"),AND(H144="Media",L144="Moderado"),AND(H144="Alta",L144="Leve"),AND(H144="Alta",L144="Menor")),"Moderado",IF(OR(AND(H144="Muy Baja",L144="Mayor"),AND(H144="Baja",L144="Mayor"),AND(H144="Media",L144="Mayor"),AND(H144="Alta",L144="Moderado"),AND(H144="Alta",L144="Mayor"),AND(H144="Muy Alta",L144="Leve"),AND(H144="Muy Alta",L144="Menor"),AND(H144="Muy Alta",L144="Moderado"),AND(H144="Muy Alta",L144="Mayor")),"Alto",IF(OR(AND(H144="Muy Baja",L144="Catastrófico"),AND(H144="Baja",L144="Catastrófico"),AND(H144="Media",L144="Catastrófico"),AND(H144="Alta",L144="Catastrófico"),AND(H144="Muy Alta",L144="Catastrófico")),"Extremo",""))))</f>
        <v>Alto</v>
      </c>
      <c r="O144" s="210">
        <v>1</v>
      </c>
      <c r="P144" s="337" t="s">
        <v>265</v>
      </c>
      <c r="Q144" s="220" t="str">
        <f>IF(OR(R144="Preventivo",R144="Detectivo"),"Probabilidad",IF(R144="Correctivo","Impacto",""))</f>
        <v>Probabilidad</v>
      </c>
      <c r="R144" s="202" t="s">
        <v>14</v>
      </c>
      <c r="S144" s="202" t="s">
        <v>9</v>
      </c>
      <c r="T144" s="200" t="str">
        <f>IF(AND(R144="Preventivo",S144="Automático"),"50%",IF(AND(R144="Preventivo",S144="Manual"),"40%",IF(AND(R144="Detectivo",S144="Automático"),"40%",IF(AND(R144="Detectivo",S144="Manual"),"30%",IF(AND(R144="Correctivo",S144="Automático"),"35%",IF(AND(R144="Correctivo",S144="Manual"),"25%",""))))))</f>
        <v>40%</v>
      </c>
      <c r="U144" s="202" t="s">
        <v>19</v>
      </c>
      <c r="V144" s="202" t="s">
        <v>22</v>
      </c>
      <c r="W144" s="202" t="s">
        <v>119</v>
      </c>
      <c r="X144" s="139">
        <f>IFERROR(IF(Q144="Probabilidad",(I144-(+I144*T144)),IF(Q144="Impacto",I144,"")),"")</f>
        <v>0.48</v>
      </c>
      <c r="Y144" s="204" t="str">
        <f>IFERROR(IF(X144="","",IF(X144&lt;=0.2,"Muy Baja",IF(X144&lt;=0.4,"Baja",IF(X144&lt;=0.6,"Media",IF(X144&lt;=0.8,"Alta","Muy Alta"))))),"")</f>
        <v>Media</v>
      </c>
      <c r="Z144" s="200">
        <f>+X144</f>
        <v>0.48</v>
      </c>
      <c r="AA144" s="204" t="str">
        <f>IFERROR(IF(AB144="","",IF(AB144&lt;=0.2,"Leve",IF(AB144&lt;=0.4,"Menor",IF(AB144&lt;=0.6,"Moderado",IF(AB144&lt;=0.8,"Mayor","Catastrófico"))))),"")</f>
        <v>Mayor</v>
      </c>
      <c r="AB144" s="200">
        <f>IFERROR(IF(Q144="Impacto",(M144-(+M144*T144)),IF(Q144="Probabilidad",M144,"")),"")</f>
        <v>0.8</v>
      </c>
      <c r="AC144" s="208" t="str">
        <f>IFERROR(IF(OR(AND(Y144="Muy Baja",AA144="Leve"),AND(Y144="Muy Baja",AA144="Menor"),AND(Y144="Baja",AA144="Leve")),"Bajo",IF(OR(AND(Y144="Muy baja",AA144="Moderado"),AND(Y144="Baja",AA144="Menor"),AND(Y144="Baja",AA144="Moderado"),AND(Y144="Media",AA144="Leve"),AND(Y144="Media",AA144="Menor"),AND(Y144="Media",AA144="Moderado"),AND(Y144="Alta",AA144="Leve"),AND(Y144="Alta",AA144="Menor")),"Moderado",IF(OR(AND(Y144="Muy Baja",AA144="Mayor"),AND(Y144="Baja",AA144="Mayor"),AND(Y144="Media",AA144="Mayor"),AND(Y144="Alta",AA144="Moderado"),AND(Y144="Alta",AA144="Mayor"),AND(Y144="Muy Alta",AA144="Leve"),AND(Y144="Muy Alta",AA144="Menor"),AND(Y144="Muy Alta",AA144="Moderado"),AND(Y144="Muy Alta",AA144="Mayor")),"Alto",IF(OR(AND(Y144="Muy Baja",AA144="Catastrófico"),AND(Y144="Baja",AA144="Catastrófico"),AND(Y144="Media",AA144="Catastrófico"),AND(Y144="Alta",AA144="Catastrófico"),AND(Y144="Muy Alta",AA144="Catastrófico")),"Extremo","")))),"")</f>
        <v>Alto</v>
      </c>
      <c r="AD144" s="202" t="s">
        <v>135</v>
      </c>
      <c r="AE144" s="223" t="s">
        <v>266</v>
      </c>
      <c r="AF144" s="253" t="s">
        <v>267</v>
      </c>
      <c r="AG144" s="339"/>
      <c r="AH144" s="339"/>
      <c r="AI144" s="223"/>
      <c r="AJ144" s="253"/>
    </row>
    <row r="145" spans="1:36" ht="141" customHeight="1" x14ac:dyDescent="0.3">
      <c r="A145" s="222"/>
      <c r="B145" s="224"/>
      <c r="C145" s="224"/>
      <c r="D145" s="224"/>
      <c r="E145" s="227"/>
      <c r="F145" s="224"/>
      <c r="G145" s="254"/>
      <c r="H145" s="242"/>
      <c r="I145" s="233"/>
      <c r="J145" s="236"/>
      <c r="K145" s="239">
        <f ca="1">IF(NOT(ISERROR(MATCH(J145,_xlfn.ANCHORARRAY(E156),0))),I158&amp;"Por favor no seleccionar los criterios de impacto",J145)</f>
        <v>0</v>
      </c>
      <c r="L145" s="242"/>
      <c r="M145" s="233"/>
      <c r="N145" s="230"/>
      <c r="O145" s="211"/>
      <c r="P145" s="338"/>
      <c r="Q145" s="221"/>
      <c r="R145" s="203"/>
      <c r="S145" s="203"/>
      <c r="T145" s="201"/>
      <c r="U145" s="203"/>
      <c r="V145" s="203"/>
      <c r="W145" s="203"/>
      <c r="X145" s="127" t="str">
        <f>IFERROR(IF(AND(Q144="Probabilidad",Q145="Probabilidad"),(Z144-(+Z144*T145)),IF(Q145="Probabilidad",(I144-(+I144*T145)),IF(Q145="Impacto",Z144,""))),"")</f>
        <v/>
      </c>
      <c r="Y145" s="205"/>
      <c r="Z145" s="201"/>
      <c r="AA145" s="205"/>
      <c r="AB145" s="201"/>
      <c r="AC145" s="209"/>
      <c r="AD145" s="203"/>
      <c r="AE145" s="225"/>
      <c r="AF145" s="255"/>
      <c r="AG145" s="340"/>
      <c r="AH145" s="340"/>
      <c r="AI145" s="225"/>
      <c r="AJ145" s="255"/>
    </row>
    <row r="146" spans="1:36" hidden="1" x14ac:dyDescent="0.3">
      <c r="A146" s="222"/>
      <c r="B146" s="224"/>
      <c r="C146" s="224"/>
      <c r="D146" s="224"/>
      <c r="E146" s="227"/>
      <c r="F146" s="224"/>
      <c r="G146" s="254"/>
      <c r="H146" s="242"/>
      <c r="I146" s="233"/>
      <c r="J146" s="236"/>
      <c r="K146" s="239">
        <f ca="1">IF(NOT(ISERROR(MATCH(J146,_xlfn.ANCHORARRAY(E157),0))),#REF!&amp;"Por favor no seleccionar los criterios de impacto",J146)</f>
        <v>0</v>
      </c>
      <c r="L146" s="242"/>
      <c r="M146" s="233"/>
      <c r="N146" s="230"/>
      <c r="O146" s="138">
        <v>3</v>
      </c>
      <c r="P146" s="135"/>
      <c r="Q146" s="124" t="str">
        <f>IF(OR(R146="Preventivo",R146="Detectivo"),"Probabilidad",IF(R146="Correctivo","Impacto",""))</f>
        <v/>
      </c>
      <c r="R146" s="125"/>
      <c r="S146" s="125"/>
      <c r="T146" s="126" t="str">
        <f t="shared" ref="T146:T149" si="115">IF(AND(R146="Preventivo",S146="Automático"),"50%",IF(AND(R146="Preventivo",S146="Manual"),"40%",IF(AND(R146="Detectivo",S146="Automático"),"40%",IF(AND(R146="Detectivo",S146="Manual"),"30%",IF(AND(R146="Correctivo",S146="Automático"),"35%",IF(AND(R146="Correctivo",S146="Manual"),"25%",""))))))</f>
        <v/>
      </c>
      <c r="U146" s="125"/>
      <c r="V146" s="125"/>
      <c r="W146" s="125"/>
      <c r="X146" s="127" t="str">
        <f>IFERROR(IF(AND(Q145="Probabilidad",Q146="Probabilidad"),(Z145-(+Z145*T146)),IF(AND(Q145="Impacto",Q146="Probabilidad"),(Z144-(+Z144*T146)),IF(Q146="Impacto",Z145,""))),"")</f>
        <v/>
      </c>
      <c r="Y146" s="128" t="str">
        <f t="shared" ref="Y146:Y155" si="116">IFERROR(IF(X146="","",IF(X146&lt;=0.2,"Muy Baja",IF(X146&lt;=0.4,"Baja",IF(X146&lt;=0.6,"Media",IF(X146&lt;=0.8,"Alta","Muy Alta"))))),"")</f>
        <v/>
      </c>
      <c r="Z146" s="129" t="str">
        <f t="shared" ref="Z146:Z149" si="117">+X146</f>
        <v/>
      </c>
      <c r="AA146" s="128" t="str">
        <f t="shared" ref="AA146:AA155" si="118">IFERROR(IF(AB146="","",IF(AB146&lt;=0.2,"Leve",IF(AB146&lt;=0.4,"Menor",IF(AB146&lt;=0.6,"Moderado",IF(AB146&lt;=0.8,"Mayor","Catastrófico"))))),"")</f>
        <v/>
      </c>
      <c r="AB146" s="137" t="str">
        <f>IFERROR(IF(AND(Q145="Impacto",Q146="Impacto"),(AB145-(+AB145*T146)),IF(AND(Q145="Probabilidad",Q146="Impacto"),(AB144-(+AB144*T146)),IF(Q146="Probabilidad",AB145,""))),"")</f>
        <v/>
      </c>
      <c r="AC146" s="130" t="str">
        <f t="shared" ref="AC146:AC149" si="119">IFERROR(IF(OR(AND(Y146="Muy Baja",AA146="Leve"),AND(Y146="Muy Baja",AA146="Menor"),AND(Y146="Baja",AA146="Leve")),"Bajo",IF(OR(AND(Y146="Muy baja",AA146="Moderado"),AND(Y146="Baja",AA146="Menor"),AND(Y146="Baja",AA146="Moderado"),AND(Y146="Media",AA146="Leve"),AND(Y146="Media",AA146="Menor"),AND(Y146="Media",AA146="Moderado"),AND(Y146="Alta",AA146="Leve"),AND(Y146="Alta",AA146="Menor")),"Moderado",IF(OR(AND(Y146="Muy Baja",AA146="Mayor"),AND(Y146="Baja",AA146="Mayor"),AND(Y146="Media",AA146="Mayor"),AND(Y146="Alta",AA146="Moderado"),AND(Y146="Alta",AA146="Mayor"),AND(Y146="Muy Alta",AA146="Leve"),AND(Y146="Muy Alta",AA146="Menor"),AND(Y146="Muy Alta",AA146="Moderado"),AND(Y146="Muy Alta",AA146="Mayor")),"Alto",IF(OR(AND(Y146="Muy Baja",AA146="Catastrófico"),AND(Y146="Baja",AA146="Catastrófico"),AND(Y146="Media",AA146="Catastrófico"),AND(Y146="Alta",AA146="Catastrófico"),AND(Y146="Muy Alta",AA146="Catastrófico")),"Extremo","")))),"")</f>
        <v/>
      </c>
      <c r="AD146" s="131"/>
      <c r="AE146" s="132"/>
      <c r="AF146" s="133"/>
      <c r="AG146" s="134"/>
      <c r="AH146" s="134"/>
      <c r="AI146" s="132"/>
      <c r="AJ146" s="133"/>
    </row>
    <row r="147" spans="1:36" hidden="1" x14ac:dyDescent="0.3">
      <c r="A147" s="222"/>
      <c r="B147" s="224"/>
      <c r="C147" s="224"/>
      <c r="D147" s="224"/>
      <c r="E147" s="227"/>
      <c r="F147" s="224"/>
      <c r="G147" s="254"/>
      <c r="H147" s="242"/>
      <c r="I147" s="233"/>
      <c r="J147" s="236"/>
      <c r="K147" s="239">
        <f ca="1">IF(NOT(ISERROR(MATCH(J147,_xlfn.ANCHORARRAY(E158),0))),I159&amp;"Por favor no seleccionar los criterios de impacto",J147)</f>
        <v>0</v>
      </c>
      <c r="L147" s="242"/>
      <c r="M147" s="233"/>
      <c r="N147" s="230"/>
      <c r="O147" s="138">
        <v>4</v>
      </c>
      <c r="P147" s="123"/>
      <c r="Q147" s="124" t="str">
        <f t="shared" ref="Q147:Q149" si="120">IF(OR(R147="Preventivo",R147="Detectivo"),"Probabilidad",IF(R147="Correctivo","Impacto",""))</f>
        <v/>
      </c>
      <c r="R147" s="125"/>
      <c r="S147" s="125"/>
      <c r="T147" s="126" t="str">
        <f t="shared" si="115"/>
        <v/>
      </c>
      <c r="U147" s="125"/>
      <c r="V147" s="125"/>
      <c r="W147" s="125"/>
      <c r="X147" s="127" t="str">
        <f t="shared" ref="X147:X149" si="121">IFERROR(IF(AND(Q146="Probabilidad",Q147="Probabilidad"),(Z146-(+Z146*T147)),IF(AND(Q146="Impacto",Q147="Probabilidad"),(Z145-(+Z145*T147)),IF(Q147="Impacto",Z146,""))),"")</f>
        <v/>
      </c>
      <c r="Y147" s="128" t="str">
        <f t="shared" si="116"/>
        <v/>
      </c>
      <c r="Z147" s="129" t="str">
        <f t="shared" si="117"/>
        <v/>
      </c>
      <c r="AA147" s="128" t="str">
        <f t="shared" si="118"/>
        <v/>
      </c>
      <c r="AB147" s="137" t="str">
        <f t="shared" ref="AB147:AB149" si="122">IFERROR(IF(AND(Q146="Impacto",Q147="Impacto"),(AB146-(+AB146*T147)),IF(AND(Q146="Probabilidad",Q147="Impacto"),(AB145-(+AB145*T147)),IF(Q147="Probabilidad",AB146,""))),"")</f>
        <v/>
      </c>
      <c r="AC147" s="130" t="str">
        <f>IFERROR(IF(OR(AND(Y147="Muy Baja",AA147="Leve"),AND(Y147="Muy Baja",AA147="Menor"),AND(Y147="Baja",AA147="Leve")),"Bajo",IF(OR(AND(Y147="Muy baja",AA147="Moderado"),AND(Y147="Baja",AA147="Menor"),AND(Y147="Baja",AA147="Moderado"),AND(Y147="Media",AA147="Leve"),AND(Y147="Media",AA147="Menor"),AND(Y147="Media",AA147="Moderado"),AND(Y147="Alta",AA147="Leve"),AND(Y147="Alta",AA147="Menor")),"Moderado",IF(OR(AND(Y147="Muy Baja",AA147="Mayor"),AND(Y147="Baja",AA147="Mayor"),AND(Y147="Media",AA147="Mayor"),AND(Y147="Alta",AA147="Moderado"),AND(Y147="Alta",AA147="Mayor"),AND(Y147="Muy Alta",AA147="Leve"),AND(Y147="Muy Alta",AA147="Menor"),AND(Y147="Muy Alta",AA147="Moderado"),AND(Y147="Muy Alta",AA147="Mayor")),"Alto",IF(OR(AND(Y147="Muy Baja",AA147="Catastrófico"),AND(Y147="Baja",AA147="Catastrófico"),AND(Y147="Media",AA147="Catastrófico"),AND(Y147="Alta",AA147="Catastrófico"),AND(Y147="Muy Alta",AA147="Catastrófico")),"Extremo","")))),"")</f>
        <v/>
      </c>
      <c r="AD147" s="131"/>
      <c r="AE147" s="132"/>
      <c r="AF147" s="133"/>
      <c r="AG147" s="134"/>
      <c r="AH147" s="134"/>
      <c r="AI147" s="132"/>
      <c r="AJ147" s="133"/>
    </row>
    <row r="148" spans="1:36" hidden="1" x14ac:dyDescent="0.3">
      <c r="A148" s="222"/>
      <c r="B148" s="224"/>
      <c r="C148" s="224"/>
      <c r="D148" s="224"/>
      <c r="E148" s="227"/>
      <c r="F148" s="224"/>
      <c r="G148" s="254"/>
      <c r="H148" s="242"/>
      <c r="I148" s="233"/>
      <c r="J148" s="236"/>
      <c r="K148" s="239">
        <f ca="1">IF(NOT(ISERROR(MATCH(J148,_xlfn.ANCHORARRAY(#REF!),0))),I160&amp;"Por favor no seleccionar los criterios de impacto",J148)</f>
        <v>0</v>
      </c>
      <c r="L148" s="242"/>
      <c r="M148" s="233"/>
      <c r="N148" s="230"/>
      <c r="O148" s="138">
        <v>5</v>
      </c>
      <c r="P148" s="123"/>
      <c r="Q148" s="124" t="str">
        <f t="shared" si="120"/>
        <v/>
      </c>
      <c r="R148" s="125"/>
      <c r="S148" s="125"/>
      <c r="T148" s="126" t="str">
        <f t="shared" si="115"/>
        <v/>
      </c>
      <c r="U148" s="125"/>
      <c r="V148" s="125"/>
      <c r="W148" s="125"/>
      <c r="X148" s="127" t="str">
        <f t="shared" si="121"/>
        <v/>
      </c>
      <c r="Y148" s="128" t="str">
        <f t="shared" si="116"/>
        <v/>
      </c>
      <c r="Z148" s="129" t="str">
        <f t="shared" si="117"/>
        <v/>
      </c>
      <c r="AA148" s="128" t="str">
        <f t="shared" si="118"/>
        <v/>
      </c>
      <c r="AB148" s="137" t="str">
        <f t="shared" si="122"/>
        <v/>
      </c>
      <c r="AC148" s="130" t="str">
        <f t="shared" si="119"/>
        <v/>
      </c>
      <c r="AD148" s="131"/>
      <c r="AE148" s="132"/>
      <c r="AF148" s="133"/>
      <c r="AG148" s="134"/>
      <c r="AH148" s="134"/>
      <c r="AI148" s="132"/>
      <c r="AJ148" s="133"/>
    </row>
    <row r="149" spans="1:36" hidden="1" x14ac:dyDescent="0.3">
      <c r="A149" s="211"/>
      <c r="B149" s="225"/>
      <c r="C149" s="225"/>
      <c r="D149" s="225"/>
      <c r="E149" s="228"/>
      <c r="F149" s="225"/>
      <c r="G149" s="255"/>
      <c r="H149" s="243"/>
      <c r="I149" s="234"/>
      <c r="J149" s="237"/>
      <c r="K149" s="240">
        <f ca="1">IF(NOT(ISERROR(MATCH(J149,_xlfn.ANCHORARRAY(E159),0))),I161&amp;"Por favor no seleccionar los criterios de impacto",J149)</f>
        <v>0</v>
      </c>
      <c r="L149" s="243"/>
      <c r="M149" s="234"/>
      <c r="N149" s="231"/>
      <c r="O149" s="138">
        <v>6</v>
      </c>
      <c r="P149" s="123"/>
      <c r="Q149" s="124" t="str">
        <f t="shared" si="120"/>
        <v/>
      </c>
      <c r="R149" s="125"/>
      <c r="S149" s="125"/>
      <c r="T149" s="126" t="str">
        <f t="shared" si="115"/>
        <v/>
      </c>
      <c r="U149" s="125"/>
      <c r="V149" s="125"/>
      <c r="W149" s="125"/>
      <c r="X149" s="127" t="str">
        <f t="shared" si="121"/>
        <v/>
      </c>
      <c r="Y149" s="128" t="str">
        <f t="shared" si="116"/>
        <v/>
      </c>
      <c r="Z149" s="129" t="str">
        <f t="shared" si="117"/>
        <v/>
      </c>
      <c r="AA149" s="128" t="str">
        <f t="shared" si="118"/>
        <v/>
      </c>
      <c r="AB149" s="137" t="str">
        <f t="shared" si="122"/>
        <v/>
      </c>
      <c r="AC149" s="130" t="str">
        <f t="shared" si="119"/>
        <v/>
      </c>
      <c r="AD149" s="131"/>
      <c r="AE149" s="132"/>
      <c r="AF149" s="133"/>
      <c r="AG149" s="134"/>
      <c r="AH149" s="134"/>
      <c r="AI149" s="132"/>
      <c r="AJ149" s="133"/>
    </row>
    <row r="150" spans="1:36" x14ac:dyDescent="0.3">
      <c r="A150" s="210">
        <v>2</v>
      </c>
      <c r="B150" s="223" t="s">
        <v>133</v>
      </c>
      <c r="C150" s="223" t="s">
        <v>268</v>
      </c>
      <c r="D150" s="223" t="s">
        <v>269</v>
      </c>
      <c r="E150" s="226" t="s">
        <v>270</v>
      </c>
      <c r="F150" s="223" t="s">
        <v>123</v>
      </c>
      <c r="G150" s="253">
        <v>9125</v>
      </c>
      <c r="H150" s="241" t="str">
        <f>IF(G150&lt;=0,"",IF(G150&lt;=2,"Muy Baja",IF(G150&lt;=24,"Baja",IF(G150&lt;=500,"Media",IF(G150&lt;=5000,"Alta","Muy Alta")))))</f>
        <v>Muy Alta</v>
      </c>
      <c r="I150" s="232">
        <f>IF(H150="","",IF(H150="Muy Baja",0.2,IF(H150="Baja",0.4,IF(H150="Media",0.6,IF(H150="Alta",0.8,IF(H150="Muy Alta",1,))))))</f>
        <v>1</v>
      </c>
      <c r="J150" s="235" t="s">
        <v>148</v>
      </c>
      <c r="K150" s="238" t="str">
        <f>IF(NOT(ISERROR(MATCH(J150,'[4]Tabla Impacto'!$B$221:$B$223,0))),'[4]Tabla Impacto'!$F$223&amp;"Por favor no seleccionar los criterios de impacto(Afectación Económica o presupuestal y Pérdida Reputacional)",J150)</f>
        <v xml:space="preserve">     Entre 100 y 500 SMLMV </v>
      </c>
      <c r="L150" s="241" t="str">
        <f>IF(OR(K150='[4]Tabla Impacto'!$C$11,K150='[4]Tabla Impacto'!$D$11),"Leve",IF(OR(K150='[4]Tabla Impacto'!$C$12,K150='[4]Tabla Impacto'!$D$12),"Menor",IF(OR(K150='[4]Tabla Impacto'!$C$13,K150='[4]Tabla Impacto'!$D$13),"Moderado",IF(OR(K150='[4]Tabla Impacto'!$C$14,K150='[4]Tabla Impacto'!$D$14),"Mayor",IF(OR(K150='[4]Tabla Impacto'!$C$15,K150='[4]Tabla Impacto'!$D$15),"Catastrófico","")))))</f>
        <v>Mayor</v>
      </c>
      <c r="M150" s="232">
        <f>IF(L150="","",IF(L150="Leve",0.2,IF(L150="Menor",0.4,IF(L150="Moderado",0.6,IF(L150="Mayor",0.8,IF(L150="Catastrófico",1,))))))</f>
        <v>0.8</v>
      </c>
      <c r="N150" s="229" t="str">
        <f>IF(OR(AND(H150="Muy Baja",L150="Leve"),AND(H150="Muy Baja",L150="Menor"),AND(H150="Baja",L150="Leve")),"Bajo",IF(OR(AND(H150="Muy baja",L150="Moderado"),AND(H150="Baja",L150="Menor"),AND(H150="Baja",L150="Moderado"),AND(H150="Media",L150="Leve"),AND(H150="Media",L150="Menor"),AND(H150="Media",L150="Moderado"),AND(H150="Alta",L150="Leve"),AND(H150="Alta",L150="Menor")),"Moderado",IF(OR(AND(H150="Muy Baja",L150="Mayor"),AND(H150="Baja",L150="Mayor"),AND(H150="Media",L150="Mayor"),AND(H150="Alta",L150="Moderado"),AND(H150="Alta",L150="Mayor"),AND(H150="Muy Alta",L150="Leve"),AND(H150="Muy Alta",L150="Menor"),AND(H150="Muy Alta",L150="Moderado"),AND(H150="Muy Alta",L150="Mayor")),"Alto",IF(OR(AND(H150="Muy Baja",L150="Catastrófico"),AND(H150="Baja",L150="Catastrófico"),AND(H150="Media",L150="Catastrófico"),AND(H150="Alta",L150="Catastrófico"),AND(H150="Muy Alta",L150="Catastrófico")),"Extremo",""))))</f>
        <v>Alto</v>
      </c>
      <c r="O150" s="210">
        <v>2</v>
      </c>
      <c r="P150" s="218" t="s">
        <v>271</v>
      </c>
      <c r="Q150" s="220" t="str">
        <f>IF(OR(R150="Preventivo",R150="Detectivo"),"Probabilidad",IF(R150="Correctivo","Impacto",""))</f>
        <v>Probabilidad</v>
      </c>
      <c r="R150" s="202" t="s">
        <v>14</v>
      </c>
      <c r="S150" s="202" t="s">
        <v>9</v>
      </c>
      <c r="T150" s="200" t="str">
        <f>IF(AND(R150="Preventivo",S150="Automático"),"50%",IF(AND(R150="Preventivo",S150="Manual"),"40%",IF(AND(R150="Detectivo",S150="Automático"),"40%",IF(AND(R150="Detectivo",S150="Manual"),"30%",IF(AND(R150="Correctivo",S150="Automático"),"35%",IF(AND(R150="Correctivo",S150="Manual"),"25%",""))))))</f>
        <v>40%</v>
      </c>
      <c r="U150" s="202" t="s">
        <v>19</v>
      </c>
      <c r="V150" s="202" t="s">
        <v>22</v>
      </c>
      <c r="W150" s="202" t="s">
        <v>119</v>
      </c>
      <c r="X150" s="139">
        <f>IFERROR(IF(Q150="Probabilidad",(I150-(+I150*T150)),IF(Q150="Impacto",I150,"")),"")</f>
        <v>0.6</v>
      </c>
      <c r="Y150" s="204" t="str">
        <f>IFERROR(IF(X150="","",IF(X150&lt;=0.2,"Muy Baja",IF(X150&lt;=0.4,"Baja",IF(X150&lt;=0.6,"Media",IF(X150&lt;=0.8,"Alta","Muy Alta"))))),"")</f>
        <v>Media</v>
      </c>
      <c r="Z150" s="200">
        <f>+X150</f>
        <v>0.6</v>
      </c>
      <c r="AA150" s="204" t="str">
        <f>IFERROR(IF(AB150="","",IF(AB150&lt;=0.2,"Leve",IF(AB150&lt;=0.4,"Menor",IF(AB150&lt;=0.6,"Moderado",IF(AB150&lt;=0.8,"Mayor","Catastrófico"))))),"")</f>
        <v>Mayor</v>
      </c>
      <c r="AB150" s="206">
        <f>IFERROR(IF(Q150="Impacto",(M150-(+M150*T150)),IF(Q150="Probabilidad",M150,"")),"")</f>
        <v>0.8</v>
      </c>
      <c r="AC150" s="208" t="str">
        <f>IFERROR(IF(OR(AND(Y150="Muy Baja",AA150="Leve"),AND(Y150="Muy Baja",AA150="Menor"),AND(Y150="Baja",AA150="Leve")),"Bajo",IF(OR(AND(Y150="Muy baja",AA150="Moderado"),AND(Y150="Baja",AA150="Menor"),AND(Y150="Baja",AA150="Moderado"),AND(Y150="Media",AA150="Leve"),AND(Y150="Media",AA150="Menor"),AND(Y150="Media",AA150="Moderado"),AND(Y150="Alta",AA150="Leve"),AND(Y150="Alta",AA150="Menor")),"Moderado",IF(OR(AND(Y150="Muy Baja",AA150="Mayor"),AND(Y150="Baja",AA150="Mayor"),AND(Y150="Media",AA150="Mayor"),AND(Y150="Alta",AA150="Moderado"),AND(Y150="Alta",AA150="Mayor"),AND(Y150="Muy Alta",AA150="Leve"),AND(Y150="Muy Alta",AA150="Menor"),AND(Y150="Muy Alta",AA150="Moderado"),AND(Y150="Muy Alta",AA150="Mayor")),"Alto",IF(OR(AND(Y150="Muy Baja",AA150="Catastrófico"),AND(Y150="Baja",AA150="Catastrófico"),AND(Y150="Media",AA150="Catastrófico"),AND(Y150="Alta",AA150="Catastrófico"),AND(Y150="Muy Alta",AA150="Catastrófico")),"Extremo","")))),"")</f>
        <v>Alto</v>
      </c>
      <c r="AD150" s="202" t="s">
        <v>32</v>
      </c>
      <c r="AE150" s="223" t="s">
        <v>272</v>
      </c>
      <c r="AF150" s="253" t="s">
        <v>267</v>
      </c>
      <c r="AG150" s="339"/>
      <c r="AH150" s="339"/>
      <c r="AI150" s="223"/>
      <c r="AJ150" s="253"/>
    </row>
    <row r="151" spans="1:36" ht="92.25" customHeight="1" x14ac:dyDescent="0.3">
      <c r="A151" s="222"/>
      <c r="B151" s="224"/>
      <c r="C151" s="224"/>
      <c r="D151" s="224"/>
      <c r="E151" s="227"/>
      <c r="F151" s="224"/>
      <c r="G151" s="254"/>
      <c r="H151" s="242"/>
      <c r="I151" s="233"/>
      <c r="J151" s="236"/>
      <c r="K151" s="239">
        <f ca="1">IF(NOT(ISERROR(MATCH(J151,_xlfn.ANCHORARRAY(E161),0))),I163&amp;"Por favor no seleccionar los criterios de impacto",J151)</f>
        <v>0</v>
      </c>
      <c r="L151" s="242"/>
      <c r="M151" s="233"/>
      <c r="N151" s="230"/>
      <c r="O151" s="211"/>
      <c r="P151" s="219"/>
      <c r="Q151" s="221"/>
      <c r="R151" s="203"/>
      <c r="S151" s="203"/>
      <c r="T151" s="201"/>
      <c r="U151" s="203"/>
      <c r="V151" s="203"/>
      <c r="W151" s="203"/>
      <c r="X151" s="139" t="str">
        <f>IFERROR(IF(AND(Q150="Probabilidad",Q151="Probabilidad"),(Z150-(+Z150*T151)),IF(Q151="Probabilidad",(I150-(+I150*T151)),IF(Q151="Impacto",Z150,""))),"")</f>
        <v/>
      </c>
      <c r="Y151" s="205"/>
      <c r="Z151" s="201"/>
      <c r="AA151" s="205"/>
      <c r="AB151" s="207"/>
      <c r="AC151" s="209"/>
      <c r="AD151" s="203"/>
      <c r="AE151" s="225"/>
      <c r="AF151" s="255"/>
      <c r="AG151" s="340"/>
      <c r="AH151" s="340"/>
      <c r="AI151" s="225"/>
      <c r="AJ151" s="255"/>
    </row>
    <row r="152" spans="1:36" hidden="1" x14ac:dyDescent="0.3">
      <c r="A152" s="222"/>
      <c r="B152" s="224"/>
      <c r="C152" s="224"/>
      <c r="D152" s="224"/>
      <c r="E152" s="227"/>
      <c r="F152" s="224"/>
      <c r="G152" s="254"/>
      <c r="H152" s="242"/>
      <c r="I152" s="233"/>
      <c r="J152" s="236"/>
      <c r="K152" s="239">
        <f ca="1">IF(NOT(ISERROR(MATCH(J152,_xlfn.ANCHORARRAY(E162),0))),I164&amp;"Por favor no seleccionar los criterios de impacto",J152)</f>
        <v>0</v>
      </c>
      <c r="L152" s="242"/>
      <c r="M152" s="233"/>
      <c r="N152" s="230"/>
      <c r="O152" s="138">
        <v>3</v>
      </c>
      <c r="P152" s="135"/>
      <c r="Q152" s="124" t="str">
        <f>IF(OR(R152="Preventivo",R152="Detectivo"),"Probabilidad",IF(R152="Correctivo","Impacto",""))</f>
        <v/>
      </c>
      <c r="R152" s="125"/>
      <c r="S152" s="125"/>
      <c r="T152" s="126" t="str">
        <f t="shared" ref="T152:T155" si="123">IF(AND(R152="Preventivo",S152="Automático"),"50%",IF(AND(R152="Preventivo",S152="Manual"),"40%",IF(AND(R152="Detectivo",S152="Automático"),"40%",IF(AND(R152="Detectivo",S152="Manual"),"30%",IF(AND(R152="Correctivo",S152="Automático"),"35%",IF(AND(R152="Correctivo",S152="Manual"),"25%",""))))))</f>
        <v/>
      </c>
      <c r="U152" s="125"/>
      <c r="V152" s="125"/>
      <c r="W152" s="125"/>
      <c r="X152" s="127" t="str">
        <f>IFERROR(IF(AND(Q151="Probabilidad",Q152="Probabilidad"),(Z151-(+Z151*T152)),IF(AND(Q151="Impacto",Q152="Probabilidad"),(Z150-(+Z150*T152)),IF(Q152="Impacto",Z151,""))),"")</f>
        <v/>
      </c>
      <c r="Y152" s="128" t="str">
        <f t="shared" si="116"/>
        <v/>
      </c>
      <c r="Z152" s="129" t="str">
        <f t="shared" ref="Z152:Z155" si="124">+X152</f>
        <v/>
      </c>
      <c r="AA152" s="128" t="str">
        <f t="shared" si="118"/>
        <v/>
      </c>
      <c r="AB152" s="137" t="str">
        <f>IFERROR(IF(AND(Q151="Impacto",Q152="Impacto"),(AB151-(+AB151*T152)),IF(AND(Q151="Probabilidad",Q152="Impacto"),(AB150-(+AB150*T152)),IF(Q152="Probabilidad",AB151,""))),"")</f>
        <v/>
      </c>
      <c r="AC152" s="130" t="str">
        <f t="shared" ref="AC152" si="125">IFERROR(IF(OR(AND(Y152="Muy Baja",AA152="Leve"),AND(Y152="Muy Baja",AA152="Menor"),AND(Y152="Baja",AA152="Leve")),"Bajo",IF(OR(AND(Y152="Muy baja",AA152="Moderado"),AND(Y152="Baja",AA152="Menor"),AND(Y152="Baja",AA152="Moderado"),AND(Y152="Media",AA152="Leve"),AND(Y152="Media",AA152="Menor"),AND(Y152="Media",AA152="Moderado"),AND(Y152="Alta",AA152="Leve"),AND(Y152="Alta",AA152="Menor")),"Moderado",IF(OR(AND(Y152="Muy Baja",AA152="Mayor"),AND(Y152="Baja",AA152="Mayor"),AND(Y152="Media",AA152="Mayor"),AND(Y152="Alta",AA152="Moderado"),AND(Y152="Alta",AA152="Mayor"),AND(Y152="Muy Alta",AA152="Leve"),AND(Y152="Muy Alta",AA152="Menor"),AND(Y152="Muy Alta",AA152="Moderado"),AND(Y152="Muy Alta",AA152="Mayor")),"Alto",IF(OR(AND(Y152="Muy Baja",AA152="Catastrófico"),AND(Y152="Baja",AA152="Catastrófico"),AND(Y152="Media",AA152="Catastrófico"),AND(Y152="Alta",AA152="Catastrófico"),AND(Y152="Muy Alta",AA152="Catastrófico")),"Extremo","")))),"")</f>
        <v/>
      </c>
      <c r="AD152" s="131"/>
      <c r="AE152" s="132"/>
      <c r="AF152" s="133"/>
      <c r="AG152" s="134"/>
      <c r="AH152" s="134"/>
      <c r="AI152" s="132"/>
      <c r="AJ152" s="133"/>
    </row>
    <row r="153" spans="1:36" hidden="1" x14ac:dyDescent="0.3">
      <c r="A153" s="222"/>
      <c r="B153" s="224"/>
      <c r="C153" s="224"/>
      <c r="D153" s="224"/>
      <c r="E153" s="227"/>
      <c r="F153" s="224"/>
      <c r="G153" s="254"/>
      <c r="H153" s="242"/>
      <c r="I153" s="233"/>
      <c r="J153" s="236"/>
      <c r="K153" s="239">
        <f ca="1">IF(NOT(ISERROR(MATCH(J153,_xlfn.ANCHORARRAY(E163),0))),I165&amp;"Por favor no seleccionar los criterios de impacto",J153)</f>
        <v>0</v>
      </c>
      <c r="L153" s="242"/>
      <c r="M153" s="233"/>
      <c r="N153" s="230"/>
      <c r="O153" s="138">
        <v>4</v>
      </c>
      <c r="P153" s="123"/>
      <c r="Q153" s="124" t="str">
        <f t="shared" ref="Q153:Q155" si="126">IF(OR(R153="Preventivo",R153="Detectivo"),"Probabilidad",IF(R153="Correctivo","Impacto",""))</f>
        <v/>
      </c>
      <c r="R153" s="125"/>
      <c r="S153" s="125"/>
      <c r="T153" s="126" t="str">
        <f t="shared" si="123"/>
        <v/>
      </c>
      <c r="U153" s="125"/>
      <c r="V153" s="125"/>
      <c r="W153" s="125"/>
      <c r="X153" s="127" t="str">
        <f t="shared" ref="X153:X155" si="127">IFERROR(IF(AND(Q152="Probabilidad",Q153="Probabilidad"),(Z152-(+Z152*T153)),IF(AND(Q152="Impacto",Q153="Probabilidad"),(Z151-(+Z151*T153)),IF(Q153="Impacto",Z152,""))),"")</f>
        <v/>
      </c>
      <c r="Y153" s="128" t="str">
        <f t="shared" si="116"/>
        <v/>
      </c>
      <c r="Z153" s="129" t="str">
        <f t="shared" si="124"/>
        <v/>
      </c>
      <c r="AA153" s="128" t="str">
        <f t="shared" si="118"/>
        <v/>
      </c>
      <c r="AB153" s="137" t="str">
        <f t="shared" ref="AB153:AB155" si="128">IFERROR(IF(AND(Q152="Impacto",Q153="Impacto"),(AB152-(+AB152*T153)),IF(AND(Q152="Probabilidad",Q153="Impacto"),(AB151-(+AB151*T153)),IF(Q153="Probabilidad",AB152,""))),"")</f>
        <v/>
      </c>
      <c r="AC153" s="130" t="str">
        <f>IFERROR(IF(OR(AND(Y153="Muy Baja",AA153="Leve"),AND(Y153="Muy Baja",AA153="Menor"),AND(Y153="Baja",AA153="Leve")),"Bajo",IF(OR(AND(Y153="Muy baja",AA153="Moderado"),AND(Y153="Baja",AA153="Menor"),AND(Y153="Baja",AA153="Moderado"),AND(Y153="Media",AA153="Leve"),AND(Y153="Media",AA153="Menor"),AND(Y153="Media",AA153="Moderado"),AND(Y153="Alta",AA153="Leve"),AND(Y153="Alta",AA153="Menor")),"Moderado",IF(OR(AND(Y153="Muy Baja",AA153="Mayor"),AND(Y153="Baja",AA153="Mayor"),AND(Y153="Media",AA153="Mayor"),AND(Y153="Alta",AA153="Moderado"),AND(Y153="Alta",AA153="Mayor"),AND(Y153="Muy Alta",AA153="Leve"),AND(Y153="Muy Alta",AA153="Menor"),AND(Y153="Muy Alta",AA153="Moderado"),AND(Y153="Muy Alta",AA153="Mayor")),"Alto",IF(OR(AND(Y153="Muy Baja",AA153="Catastrófico"),AND(Y153="Baja",AA153="Catastrófico"),AND(Y153="Media",AA153="Catastrófico"),AND(Y153="Alta",AA153="Catastrófico"),AND(Y153="Muy Alta",AA153="Catastrófico")),"Extremo","")))),"")</f>
        <v/>
      </c>
      <c r="AD153" s="131"/>
      <c r="AE153" s="132"/>
      <c r="AF153" s="133"/>
      <c r="AG153" s="134"/>
      <c r="AH153" s="134"/>
      <c r="AI153" s="132"/>
      <c r="AJ153" s="133"/>
    </row>
    <row r="154" spans="1:36" hidden="1" x14ac:dyDescent="0.3">
      <c r="A154" s="222"/>
      <c r="B154" s="224"/>
      <c r="C154" s="224"/>
      <c r="D154" s="224"/>
      <c r="E154" s="227"/>
      <c r="F154" s="224"/>
      <c r="G154" s="254"/>
      <c r="H154" s="242"/>
      <c r="I154" s="233"/>
      <c r="J154" s="236"/>
      <c r="K154" s="239">
        <f ca="1">IF(NOT(ISERROR(MATCH(J154,_xlfn.ANCHORARRAY(E164),0))),I166&amp;"Por favor no seleccionar los criterios de impacto",J154)</f>
        <v>0</v>
      </c>
      <c r="L154" s="242"/>
      <c r="M154" s="233"/>
      <c r="N154" s="230"/>
      <c r="O154" s="138">
        <v>5</v>
      </c>
      <c r="P154" s="123"/>
      <c r="Q154" s="124" t="str">
        <f t="shared" si="126"/>
        <v/>
      </c>
      <c r="R154" s="125"/>
      <c r="S154" s="125"/>
      <c r="T154" s="126" t="str">
        <f t="shared" si="123"/>
        <v/>
      </c>
      <c r="U154" s="125"/>
      <c r="V154" s="125"/>
      <c r="W154" s="125"/>
      <c r="X154" s="127" t="str">
        <f t="shared" si="127"/>
        <v/>
      </c>
      <c r="Y154" s="128" t="str">
        <f t="shared" si="116"/>
        <v/>
      </c>
      <c r="Z154" s="129" t="str">
        <f t="shared" si="124"/>
        <v/>
      </c>
      <c r="AA154" s="128" t="str">
        <f t="shared" si="118"/>
        <v/>
      </c>
      <c r="AB154" s="137" t="str">
        <f t="shared" si="128"/>
        <v/>
      </c>
      <c r="AC154" s="130" t="str">
        <f t="shared" ref="AC154:AC155" si="129">IFERROR(IF(OR(AND(Y154="Muy Baja",AA154="Leve"),AND(Y154="Muy Baja",AA154="Menor"),AND(Y154="Baja",AA154="Leve")),"Bajo",IF(OR(AND(Y154="Muy baja",AA154="Moderado"),AND(Y154="Baja",AA154="Menor"),AND(Y154="Baja",AA154="Moderado"),AND(Y154="Media",AA154="Leve"),AND(Y154="Media",AA154="Menor"),AND(Y154="Media",AA154="Moderado"),AND(Y154="Alta",AA154="Leve"),AND(Y154="Alta",AA154="Menor")),"Moderado",IF(OR(AND(Y154="Muy Baja",AA154="Mayor"),AND(Y154="Baja",AA154="Mayor"),AND(Y154="Media",AA154="Mayor"),AND(Y154="Alta",AA154="Moderado"),AND(Y154="Alta",AA154="Mayor"),AND(Y154="Muy Alta",AA154="Leve"),AND(Y154="Muy Alta",AA154="Menor"),AND(Y154="Muy Alta",AA154="Moderado"),AND(Y154="Muy Alta",AA154="Mayor")),"Alto",IF(OR(AND(Y154="Muy Baja",AA154="Catastrófico"),AND(Y154="Baja",AA154="Catastrófico"),AND(Y154="Media",AA154="Catastrófico"),AND(Y154="Alta",AA154="Catastrófico"),AND(Y154="Muy Alta",AA154="Catastrófico")),"Extremo","")))),"")</f>
        <v/>
      </c>
      <c r="AD154" s="131"/>
      <c r="AE154" s="132"/>
      <c r="AF154" s="133"/>
      <c r="AG154" s="134"/>
      <c r="AH154" s="134"/>
      <c r="AI154" s="132"/>
      <c r="AJ154" s="133"/>
    </row>
    <row r="155" spans="1:36" ht="49.5" hidden="1" customHeight="1" x14ac:dyDescent="0.3">
      <c r="A155" s="211"/>
      <c r="B155" s="225"/>
      <c r="C155" s="225"/>
      <c r="D155" s="225"/>
      <c r="E155" s="228"/>
      <c r="F155" s="225"/>
      <c r="G155" s="255"/>
      <c r="H155" s="243"/>
      <c r="I155" s="234"/>
      <c r="J155" s="237"/>
      <c r="K155" s="240">
        <f ca="1">IF(NOT(ISERROR(MATCH(J155,_xlfn.ANCHORARRAY(E165),0))),I167&amp;"Por favor no seleccionar los criterios de impacto",J155)</f>
        <v>0</v>
      </c>
      <c r="L155" s="243"/>
      <c r="M155" s="234"/>
      <c r="N155" s="231"/>
      <c r="O155" s="138">
        <v>6</v>
      </c>
      <c r="P155" s="123"/>
      <c r="Q155" s="124" t="str">
        <f t="shared" si="126"/>
        <v/>
      </c>
      <c r="R155" s="125"/>
      <c r="S155" s="125"/>
      <c r="T155" s="126" t="str">
        <f t="shared" si="123"/>
        <v/>
      </c>
      <c r="U155" s="125"/>
      <c r="V155" s="125"/>
      <c r="W155" s="125"/>
      <c r="X155" s="127" t="str">
        <f t="shared" si="127"/>
        <v/>
      </c>
      <c r="Y155" s="128" t="str">
        <f t="shared" si="116"/>
        <v/>
      </c>
      <c r="Z155" s="129" t="str">
        <f t="shared" si="124"/>
        <v/>
      </c>
      <c r="AA155" s="128" t="str">
        <f t="shared" si="118"/>
        <v/>
      </c>
      <c r="AB155" s="137" t="str">
        <f t="shared" si="128"/>
        <v/>
      </c>
      <c r="AC155" s="130" t="str">
        <f t="shared" si="129"/>
        <v/>
      </c>
      <c r="AD155" s="131"/>
      <c r="AE155" s="132"/>
      <c r="AF155" s="133"/>
      <c r="AG155" s="134"/>
      <c r="AH155" s="134"/>
      <c r="AI155" s="132"/>
      <c r="AJ155" s="133"/>
    </row>
    <row r="157" spans="1:36" x14ac:dyDescent="0.3">
      <c r="A157" s="290" t="s">
        <v>222</v>
      </c>
      <c r="B157" s="291"/>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c r="AE157" s="291"/>
      <c r="AF157" s="291"/>
      <c r="AG157" s="291"/>
      <c r="AH157" s="291"/>
      <c r="AI157" s="291"/>
      <c r="AJ157" s="292"/>
    </row>
    <row r="158" spans="1:36" x14ac:dyDescent="0.3">
      <c r="A158" s="293"/>
      <c r="B158" s="294"/>
      <c r="C158" s="294"/>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295"/>
    </row>
    <row r="159" spans="1:36" ht="23.25" x14ac:dyDescent="0.3">
      <c r="A159" s="256" t="s">
        <v>43</v>
      </c>
      <c r="B159" s="257"/>
      <c r="C159" s="263" t="s">
        <v>273</v>
      </c>
      <c r="D159" s="264"/>
      <c r="E159" s="264"/>
      <c r="F159" s="264"/>
      <c r="G159" s="264"/>
      <c r="H159" s="264"/>
      <c r="I159" s="264"/>
      <c r="J159" s="264"/>
      <c r="K159" s="264"/>
      <c r="L159" s="264"/>
      <c r="M159" s="264"/>
      <c r="N159" s="265"/>
      <c r="O159" s="296"/>
      <c r="P159" s="296"/>
      <c r="Q159" s="296"/>
      <c r="R159" s="7"/>
      <c r="S159" s="7"/>
      <c r="T159" s="7"/>
      <c r="U159" s="7"/>
      <c r="V159" s="7"/>
      <c r="W159" s="7"/>
      <c r="X159" s="7"/>
      <c r="Y159" s="7"/>
      <c r="Z159" s="7"/>
      <c r="AA159" s="7"/>
      <c r="AB159" s="7"/>
      <c r="AC159" s="7"/>
      <c r="AD159" s="7"/>
      <c r="AE159" s="7"/>
      <c r="AF159" s="7"/>
      <c r="AG159" s="7"/>
      <c r="AH159" s="7"/>
      <c r="AI159" s="7"/>
      <c r="AJ159" s="7"/>
    </row>
    <row r="160" spans="1:36" ht="23.25" x14ac:dyDescent="0.3">
      <c r="A160" s="256" t="s">
        <v>130</v>
      </c>
      <c r="B160" s="257"/>
      <c r="C160" s="266" t="s">
        <v>274</v>
      </c>
      <c r="D160" s="264"/>
      <c r="E160" s="264"/>
      <c r="F160" s="264"/>
      <c r="G160" s="264"/>
      <c r="H160" s="264"/>
      <c r="I160" s="264"/>
      <c r="J160" s="264"/>
      <c r="K160" s="264"/>
      <c r="L160" s="264"/>
      <c r="M160" s="264"/>
      <c r="N160" s="265"/>
      <c r="O160" s="24"/>
      <c r="P160" s="7"/>
      <c r="Q160" s="7"/>
      <c r="R160" s="7"/>
      <c r="S160" s="7"/>
      <c r="T160" s="7"/>
      <c r="U160" s="7"/>
      <c r="V160" s="7"/>
      <c r="W160" s="7"/>
      <c r="X160" s="7"/>
      <c r="Y160" s="7"/>
      <c r="Z160" s="7"/>
      <c r="AA160" s="7"/>
      <c r="AB160" s="7"/>
      <c r="AC160" s="7"/>
      <c r="AD160" s="7"/>
      <c r="AE160" s="7"/>
      <c r="AF160" s="7"/>
      <c r="AG160" s="7"/>
      <c r="AH160" s="7"/>
      <c r="AI160" s="7"/>
      <c r="AJ160" s="7"/>
    </row>
    <row r="161" spans="1:36" ht="23.25" x14ac:dyDescent="0.3">
      <c r="A161" s="256" t="s">
        <v>44</v>
      </c>
      <c r="B161" s="257"/>
      <c r="C161" s="266" t="s">
        <v>275</v>
      </c>
      <c r="D161" s="267"/>
      <c r="E161" s="267"/>
      <c r="F161" s="267"/>
      <c r="G161" s="267"/>
      <c r="H161" s="267"/>
      <c r="I161" s="267"/>
      <c r="J161" s="267"/>
      <c r="K161" s="267"/>
      <c r="L161" s="267"/>
      <c r="M161" s="267"/>
      <c r="N161" s="268"/>
      <c r="O161" s="24"/>
      <c r="P161" s="7"/>
      <c r="Q161" s="7"/>
      <c r="R161" s="7"/>
      <c r="S161" s="7"/>
      <c r="T161" s="7"/>
      <c r="U161" s="7"/>
      <c r="V161" s="7"/>
      <c r="W161" s="7"/>
      <c r="X161" s="7"/>
      <c r="Y161" s="7"/>
      <c r="Z161" s="7"/>
      <c r="AA161" s="7"/>
      <c r="AB161" s="7"/>
      <c r="AC161" s="7"/>
      <c r="AD161" s="7"/>
      <c r="AE161" s="7"/>
      <c r="AF161" s="7"/>
      <c r="AG161" s="7"/>
      <c r="AH161" s="7"/>
      <c r="AI161" s="7"/>
      <c r="AJ161" s="7"/>
    </row>
    <row r="162" spans="1:36" x14ac:dyDescent="0.3">
      <c r="A162" s="297" t="s">
        <v>138</v>
      </c>
      <c r="B162" s="298"/>
      <c r="C162" s="298"/>
      <c r="D162" s="298"/>
      <c r="E162" s="298"/>
      <c r="F162" s="298"/>
      <c r="G162" s="299"/>
      <c r="H162" s="297" t="s">
        <v>139</v>
      </c>
      <c r="I162" s="298"/>
      <c r="J162" s="298"/>
      <c r="K162" s="298"/>
      <c r="L162" s="298"/>
      <c r="M162" s="298"/>
      <c r="N162" s="299"/>
      <c r="O162" s="297" t="s">
        <v>140</v>
      </c>
      <c r="P162" s="298"/>
      <c r="Q162" s="298"/>
      <c r="R162" s="298"/>
      <c r="S162" s="298"/>
      <c r="T162" s="298"/>
      <c r="U162" s="298"/>
      <c r="V162" s="298"/>
      <c r="W162" s="299"/>
      <c r="X162" s="297" t="s">
        <v>141</v>
      </c>
      <c r="Y162" s="298"/>
      <c r="Z162" s="298"/>
      <c r="AA162" s="298"/>
      <c r="AB162" s="298"/>
      <c r="AC162" s="298"/>
      <c r="AD162" s="299"/>
      <c r="AE162" s="297" t="s">
        <v>34</v>
      </c>
      <c r="AF162" s="298"/>
      <c r="AG162" s="298"/>
      <c r="AH162" s="298"/>
      <c r="AI162" s="298"/>
      <c r="AJ162" s="299"/>
    </row>
    <row r="163" spans="1:36" x14ac:dyDescent="0.3">
      <c r="A163" s="258" t="s">
        <v>0</v>
      </c>
      <c r="B163" s="251" t="s">
        <v>2</v>
      </c>
      <c r="C163" s="245" t="s">
        <v>3</v>
      </c>
      <c r="D163" s="245" t="s">
        <v>42</v>
      </c>
      <c r="E163" s="260" t="s">
        <v>1</v>
      </c>
      <c r="F163" s="252" t="s">
        <v>50</v>
      </c>
      <c r="G163" s="245" t="s">
        <v>134</v>
      </c>
      <c r="H163" s="247" t="s">
        <v>33</v>
      </c>
      <c r="I163" s="248" t="s">
        <v>5</v>
      </c>
      <c r="J163" s="252" t="s">
        <v>87</v>
      </c>
      <c r="K163" s="252" t="s">
        <v>92</v>
      </c>
      <c r="L163" s="250" t="s">
        <v>45</v>
      </c>
      <c r="M163" s="248" t="s">
        <v>5</v>
      </c>
      <c r="N163" s="245" t="s">
        <v>48</v>
      </c>
      <c r="O163" s="261" t="s">
        <v>11</v>
      </c>
      <c r="P163" s="246" t="s">
        <v>160</v>
      </c>
      <c r="Q163" s="252" t="s">
        <v>12</v>
      </c>
      <c r="R163" s="246" t="s">
        <v>8</v>
      </c>
      <c r="S163" s="246"/>
      <c r="T163" s="246"/>
      <c r="U163" s="246"/>
      <c r="V163" s="246"/>
      <c r="W163" s="246"/>
      <c r="X163" s="244" t="s">
        <v>137</v>
      </c>
      <c r="Y163" s="244" t="s">
        <v>46</v>
      </c>
      <c r="Z163" s="244" t="s">
        <v>5</v>
      </c>
      <c r="AA163" s="244" t="s">
        <v>47</v>
      </c>
      <c r="AB163" s="244" t="s">
        <v>5</v>
      </c>
      <c r="AC163" s="244" t="s">
        <v>49</v>
      </c>
      <c r="AD163" s="261" t="s">
        <v>29</v>
      </c>
      <c r="AE163" s="246" t="s">
        <v>34</v>
      </c>
      <c r="AF163" s="246" t="s">
        <v>35</v>
      </c>
      <c r="AG163" s="246" t="s">
        <v>36</v>
      </c>
      <c r="AH163" s="246" t="s">
        <v>38</v>
      </c>
      <c r="AI163" s="246" t="s">
        <v>37</v>
      </c>
      <c r="AJ163" s="246" t="s">
        <v>39</v>
      </c>
    </row>
    <row r="164" spans="1:36" ht="78.75" x14ac:dyDescent="0.3">
      <c r="A164" s="259"/>
      <c r="B164" s="251"/>
      <c r="C164" s="246"/>
      <c r="D164" s="246"/>
      <c r="E164" s="251"/>
      <c r="F164" s="245"/>
      <c r="G164" s="246"/>
      <c r="H164" s="245"/>
      <c r="I164" s="249"/>
      <c r="J164" s="245"/>
      <c r="K164" s="245"/>
      <c r="L164" s="249"/>
      <c r="M164" s="249"/>
      <c r="N164" s="246"/>
      <c r="O164" s="262"/>
      <c r="P164" s="246"/>
      <c r="Q164" s="245"/>
      <c r="R164" s="6" t="s">
        <v>13</v>
      </c>
      <c r="S164" s="6" t="s">
        <v>17</v>
      </c>
      <c r="T164" s="6" t="s">
        <v>28</v>
      </c>
      <c r="U164" s="6" t="s">
        <v>18</v>
      </c>
      <c r="V164" s="6" t="s">
        <v>21</v>
      </c>
      <c r="W164" s="6" t="s">
        <v>24</v>
      </c>
      <c r="X164" s="244"/>
      <c r="Y164" s="244"/>
      <c r="Z164" s="244"/>
      <c r="AA164" s="244"/>
      <c r="AB164" s="244"/>
      <c r="AC164" s="244"/>
      <c r="AD164" s="262"/>
      <c r="AE164" s="246"/>
      <c r="AF164" s="246"/>
      <c r="AG164" s="246"/>
      <c r="AH164" s="246"/>
      <c r="AI164" s="246"/>
      <c r="AJ164" s="246"/>
    </row>
    <row r="165" spans="1:36" x14ac:dyDescent="0.3">
      <c r="A165" s="210">
        <v>1</v>
      </c>
      <c r="B165" s="223" t="s">
        <v>133</v>
      </c>
      <c r="C165" s="223" t="s">
        <v>276</v>
      </c>
      <c r="D165" s="223" t="s">
        <v>277</v>
      </c>
      <c r="E165" s="226" t="s">
        <v>278</v>
      </c>
      <c r="F165" s="223" t="s">
        <v>123</v>
      </c>
      <c r="G165" s="253">
        <v>2600</v>
      </c>
      <c r="H165" s="241" t="str">
        <f>IF(G165&lt;=0,"",IF(G165&lt;=2,"Muy Baja",IF(G165&lt;=24,"Baja",IF(G165&lt;=500,"Media",IF(G165&lt;=5000,"Alta","Muy Alta")))))</f>
        <v>Alta</v>
      </c>
      <c r="I165" s="232">
        <f>IF(H165="","",IF(H165="Muy Baja",0.2,IF(H165="Baja",0.4,IF(H165="Media",0.6,IF(H165="Alta",0.8,IF(H165="Muy Alta",1,))))))</f>
        <v>0.8</v>
      </c>
      <c r="J165" s="235" t="s">
        <v>147</v>
      </c>
      <c r="K165" s="238" t="str">
        <f>IF(NOT(ISERROR(MATCH(J165,'[5]Tabla Impacto'!$B$221:$B$223,0))),'[5]Tabla Impacto'!$F$223&amp;"Por favor no seleccionar los criterios de impacto(Afectación Económica o presupuestal y Pérdida Reputacional)",J165)</f>
        <v xml:space="preserve">     Entre 10 y 50 SMLMV </v>
      </c>
      <c r="L165" s="241" t="str">
        <f>IF(OR(K165='[5]Tabla Impacto'!$C$11,K165='[5]Tabla Impacto'!$D$11),"Leve",IF(OR(K165='[5]Tabla Impacto'!$C$12,K165='[5]Tabla Impacto'!$D$12),"Menor",IF(OR(K165='[5]Tabla Impacto'!$C$13,K165='[5]Tabla Impacto'!$D$13),"Moderado",IF(OR(K165='[5]Tabla Impacto'!$C$14,K165='[5]Tabla Impacto'!$D$14),"Mayor",IF(OR(K165='[5]Tabla Impacto'!$C$15,K165='[5]Tabla Impacto'!$D$15),"Catastrófico","")))))</f>
        <v>Menor</v>
      </c>
      <c r="M165" s="232">
        <f>IF(L165="","",IF(L165="Leve",0.2,IF(L165="Menor",0.4,IF(L165="Moderado",0.6,IF(L165="Mayor",0.8,IF(L165="Catastrófico",1,))))))</f>
        <v>0.4</v>
      </c>
      <c r="N165" s="229" t="str">
        <f>IF(OR(AND(H165="Muy Baja",L165="Leve"),AND(H165="Muy Baja",L165="Menor"),AND(H165="Baja",L165="Leve")),"Bajo",IF(OR(AND(H165="Muy baja",L165="Moderado"),AND(H165="Baja",L165="Menor"),AND(H165="Baja",L165="Moderado"),AND(H165="Media",L165="Leve"),AND(H165="Media",L165="Menor"),AND(H165="Media",L165="Moderado"),AND(H165="Alta",L165="Leve"),AND(H165="Alta",L165="Menor")),"Moderado",IF(OR(AND(H165="Muy Baja",L165="Mayor"),AND(H165="Baja",L165="Mayor"),AND(H165="Media",L165="Mayor"),AND(H165="Alta",L165="Moderado"),AND(H165="Alta",L165="Mayor"),AND(H165="Muy Alta",L165="Leve"),AND(H165="Muy Alta",L165="Menor"),AND(H165="Muy Alta",L165="Moderado"),AND(H165="Muy Alta",L165="Mayor")),"Alto",IF(OR(AND(H165="Muy Baja",L165="Catastrófico"),AND(H165="Baja",L165="Catastrófico"),AND(H165="Media",L165="Catastrófico"),AND(H165="Alta",L165="Catastrófico"),AND(H165="Muy Alta",L165="Catastrófico")),"Extremo",""))))</f>
        <v>Moderado</v>
      </c>
      <c r="O165" s="210">
        <v>1</v>
      </c>
      <c r="P165" s="337" t="s">
        <v>279</v>
      </c>
      <c r="Q165" s="220" t="str">
        <f>IF(OR(R165="Preventivo",R165="Detectivo"),"Probabilidad",IF(R165="Correctivo","Impacto",""))</f>
        <v>Probabilidad</v>
      </c>
      <c r="R165" s="202" t="s">
        <v>14</v>
      </c>
      <c r="S165" s="202" t="s">
        <v>9</v>
      </c>
      <c r="T165" s="200" t="str">
        <f>IF(AND(R165="Preventivo",S165="Automático"),"50%",IF(AND(R165="Preventivo",S165="Manual"),"40%",IF(AND(R165="Detectivo",S165="Automático"),"40%",IF(AND(R165="Detectivo",S165="Manual"),"30%",IF(AND(R165="Correctivo",S165="Automático"),"35%",IF(AND(R165="Correctivo",S165="Manual"),"25%",""))))))</f>
        <v>40%</v>
      </c>
      <c r="U165" s="202" t="s">
        <v>19</v>
      </c>
      <c r="V165" s="202" t="s">
        <v>23</v>
      </c>
      <c r="W165" s="202" t="s">
        <v>119</v>
      </c>
      <c r="X165" s="139">
        <f>IFERROR(IF(Q165="Probabilidad",(I165-(+I165*T165)),IF(Q165="Impacto",I165,"")),"")</f>
        <v>0.48</v>
      </c>
      <c r="Y165" s="204" t="str">
        <f>IFERROR(IF(X165="","",IF(X165&lt;=0.2,"Muy Baja",IF(X165&lt;=0.4,"Baja",IF(X165&lt;=0.6,"Media",IF(X165&lt;=0.8,"Alta","Muy Alta"))))),"")</f>
        <v>Media</v>
      </c>
      <c r="Z165" s="200">
        <f>+X165</f>
        <v>0.48</v>
      </c>
      <c r="AA165" s="204" t="str">
        <f>IFERROR(IF(AB165="","",IF(AB165&lt;=0.2,"Leve",IF(AB165&lt;=0.4,"Menor",IF(AB165&lt;=0.6,"Moderado",IF(AB165&lt;=0.8,"Mayor","Catastrófico"))))),"")</f>
        <v>Menor</v>
      </c>
      <c r="AB165" s="200">
        <f>IFERROR(IF(Q165="Impacto",(M165-(+M165*T165)),IF(Q165="Probabilidad",M165,"")),"")</f>
        <v>0.4</v>
      </c>
      <c r="AC165" s="208" t="str">
        <f>IFERROR(IF(OR(AND(Y165="Muy Baja",AA165="Leve"),AND(Y165="Muy Baja",AA165="Menor"),AND(Y165="Baja",AA165="Leve")),"Bajo",IF(OR(AND(Y165="Muy baja",AA165="Moderado"),AND(Y165="Baja",AA165="Menor"),AND(Y165="Baja",AA165="Moderado"),AND(Y165="Media",AA165="Leve"),AND(Y165="Media",AA165="Menor"),AND(Y165="Media",AA165="Moderado"),AND(Y165="Alta",AA165="Leve"),AND(Y165="Alta",AA165="Menor")),"Moderado",IF(OR(AND(Y165="Muy Baja",AA165="Mayor"),AND(Y165="Baja",AA165="Mayor"),AND(Y165="Media",AA165="Mayor"),AND(Y165="Alta",AA165="Moderado"),AND(Y165="Alta",AA165="Mayor"),AND(Y165="Muy Alta",AA165="Leve"),AND(Y165="Muy Alta",AA165="Menor"),AND(Y165="Muy Alta",AA165="Moderado"),AND(Y165="Muy Alta",AA165="Mayor")),"Alto",IF(OR(AND(Y165="Muy Baja",AA165="Catastrófico"),AND(Y165="Baja",AA165="Catastrófico"),AND(Y165="Media",AA165="Catastrófico"),AND(Y165="Alta",AA165="Catastrófico"),AND(Y165="Muy Alta",AA165="Catastrófico")),"Extremo","")))),"")</f>
        <v>Moderado</v>
      </c>
      <c r="AD165" s="202" t="s">
        <v>32</v>
      </c>
      <c r="AE165" s="212"/>
      <c r="AF165" s="214"/>
      <c r="AG165" s="216"/>
      <c r="AH165" s="216"/>
      <c r="AI165" s="212"/>
      <c r="AJ165" s="214"/>
    </row>
    <row r="166" spans="1:36" ht="177" customHeight="1" x14ac:dyDescent="0.3">
      <c r="A166" s="222"/>
      <c r="B166" s="224"/>
      <c r="C166" s="224"/>
      <c r="D166" s="224"/>
      <c r="E166" s="227"/>
      <c r="F166" s="224"/>
      <c r="G166" s="254"/>
      <c r="H166" s="242"/>
      <c r="I166" s="233"/>
      <c r="J166" s="236"/>
      <c r="K166" s="239">
        <f ca="1">IF(NOT(ISERROR(MATCH(J166,_xlfn.ANCHORARRAY(#REF!),0))),I178&amp;"Por favor no seleccionar los criterios de impacto",J166)</f>
        <v>0</v>
      </c>
      <c r="L166" s="242"/>
      <c r="M166" s="233"/>
      <c r="N166" s="230"/>
      <c r="O166" s="211"/>
      <c r="P166" s="338"/>
      <c r="Q166" s="221"/>
      <c r="R166" s="203"/>
      <c r="S166" s="203"/>
      <c r="T166" s="201"/>
      <c r="U166" s="203"/>
      <c r="V166" s="203"/>
      <c r="W166" s="203"/>
      <c r="X166" s="127" t="str">
        <f>IFERROR(IF(AND(Q165="Probabilidad",Q166="Probabilidad"),(Z165-(+Z165*T166)),IF(Q166="Probabilidad",(I165-(+I165*T166)),IF(Q166="Impacto",Z165,""))),"")</f>
        <v/>
      </c>
      <c r="Y166" s="205"/>
      <c r="Z166" s="201"/>
      <c r="AA166" s="205"/>
      <c r="AB166" s="201"/>
      <c r="AC166" s="209"/>
      <c r="AD166" s="203"/>
      <c r="AE166" s="213"/>
      <c r="AF166" s="215"/>
      <c r="AG166" s="217"/>
      <c r="AH166" s="217"/>
      <c r="AI166" s="213"/>
      <c r="AJ166" s="215"/>
    </row>
    <row r="167" spans="1:36" hidden="1" x14ac:dyDescent="0.3">
      <c r="A167" s="222"/>
      <c r="B167" s="224"/>
      <c r="C167" s="224"/>
      <c r="D167" s="224"/>
      <c r="E167" s="227"/>
      <c r="F167" s="224"/>
      <c r="G167" s="254"/>
      <c r="H167" s="242"/>
      <c r="I167" s="233"/>
      <c r="J167" s="236"/>
      <c r="K167" s="239">
        <f ca="1">IF(NOT(ISERROR(MATCH(J167,_xlfn.ANCHORARRAY(E177),0))),#REF!&amp;"Por favor no seleccionar los criterios de impacto",J167)</f>
        <v>0</v>
      </c>
      <c r="L167" s="242"/>
      <c r="M167" s="233"/>
      <c r="N167" s="230"/>
      <c r="O167" s="138">
        <v>3</v>
      </c>
      <c r="P167" s="135"/>
      <c r="Q167" s="124" t="str">
        <f>IF(OR(R167="Preventivo",R167="Detectivo"),"Probabilidad",IF(R167="Correctivo","Impacto",""))</f>
        <v/>
      </c>
      <c r="R167" s="125"/>
      <c r="S167" s="125"/>
      <c r="T167" s="126" t="str">
        <f t="shared" ref="T167:T170" si="130">IF(AND(R167="Preventivo",S167="Automático"),"50%",IF(AND(R167="Preventivo",S167="Manual"),"40%",IF(AND(R167="Detectivo",S167="Automático"),"40%",IF(AND(R167="Detectivo",S167="Manual"),"30%",IF(AND(R167="Correctivo",S167="Automático"),"35%",IF(AND(R167="Correctivo",S167="Manual"),"25%",""))))))</f>
        <v/>
      </c>
      <c r="U167" s="125"/>
      <c r="V167" s="125"/>
      <c r="W167" s="125"/>
      <c r="X167" s="127" t="str">
        <f>IFERROR(IF(AND(Q166="Probabilidad",Q167="Probabilidad"),(Z166-(+Z166*T167)),IF(AND(Q166="Impacto",Q167="Probabilidad"),(Z165-(+Z165*T167)),IF(Q167="Impacto",Z166,""))),"")</f>
        <v/>
      </c>
      <c r="Y167" s="128" t="str">
        <f t="shared" ref="Y167:Y176" si="131">IFERROR(IF(X167="","",IF(X167&lt;=0.2,"Muy Baja",IF(X167&lt;=0.4,"Baja",IF(X167&lt;=0.6,"Media",IF(X167&lt;=0.8,"Alta","Muy Alta"))))),"")</f>
        <v/>
      </c>
      <c r="Z167" s="129" t="str">
        <f t="shared" ref="Z167:Z170" si="132">+X167</f>
        <v/>
      </c>
      <c r="AA167" s="128" t="str">
        <f t="shared" ref="AA167:AA176" si="133">IFERROR(IF(AB167="","",IF(AB167&lt;=0.2,"Leve",IF(AB167&lt;=0.4,"Menor",IF(AB167&lt;=0.6,"Moderado",IF(AB167&lt;=0.8,"Mayor","Catastrófico"))))),"")</f>
        <v/>
      </c>
      <c r="AB167" s="137" t="str">
        <f>IFERROR(IF(AND(Q166="Impacto",Q167="Impacto"),(AB166-(+AB166*T167)),IF(AND(Q166="Probabilidad",Q167="Impacto"),(AB165-(+AB165*T167)),IF(Q167="Probabilidad",AB166,""))),"")</f>
        <v/>
      </c>
      <c r="AC167" s="130" t="str">
        <f t="shared" ref="AC167:AC170" si="134">IFERROR(IF(OR(AND(Y167="Muy Baja",AA167="Leve"),AND(Y167="Muy Baja",AA167="Menor"),AND(Y167="Baja",AA167="Leve")),"Bajo",IF(OR(AND(Y167="Muy baja",AA167="Moderado"),AND(Y167="Baja",AA167="Menor"),AND(Y167="Baja",AA167="Moderado"),AND(Y167="Media",AA167="Leve"),AND(Y167="Media",AA167="Menor"),AND(Y167="Media",AA167="Moderado"),AND(Y167="Alta",AA167="Leve"),AND(Y167="Alta",AA167="Menor")),"Moderado",IF(OR(AND(Y167="Muy Baja",AA167="Mayor"),AND(Y167="Baja",AA167="Mayor"),AND(Y167="Media",AA167="Mayor"),AND(Y167="Alta",AA167="Moderado"),AND(Y167="Alta",AA167="Mayor"),AND(Y167="Muy Alta",AA167="Leve"),AND(Y167="Muy Alta",AA167="Menor"),AND(Y167="Muy Alta",AA167="Moderado"),AND(Y167="Muy Alta",AA167="Mayor")),"Alto",IF(OR(AND(Y167="Muy Baja",AA167="Catastrófico"),AND(Y167="Baja",AA167="Catastrófico"),AND(Y167="Media",AA167="Catastrófico"),AND(Y167="Alta",AA167="Catastrófico"),AND(Y167="Muy Alta",AA167="Catastrófico")),"Extremo","")))),"")</f>
        <v/>
      </c>
      <c r="AD167" s="131"/>
      <c r="AE167" s="132"/>
      <c r="AF167" s="133"/>
      <c r="AG167" s="134"/>
      <c r="AH167" s="134"/>
      <c r="AI167" s="132"/>
      <c r="AJ167" s="133"/>
    </row>
    <row r="168" spans="1:36" hidden="1" x14ac:dyDescent="0.3">
      <c r="A168" s="222"/>
      <c r="B168" s="224"/>
      <c r="C168" s="224"/>
      <c r="D168" s="224"/>
      <c r="E168" s="227"/>
      <c r="F168" s="224"/>
      <c r="G168" s="254"/>
      <c r="H168" s="242"/>
      <c r="I168" s="233"/>
      <c r="J168" s="236"/>
      <c r="K168" s="239">
        <f ca="1">IF(NOT(ISERROR(MATCH(J168,_xlfn.ANCHORARRAY(E178),0))),I179&amp;"Por favor no seleccionar los criterios de impacto",J168)</f>
        <v>0</v>
      </c>
      <c r="L168" s="242"/>
      <c r="M168" s="233"/>
      <c r="N168" s="230"/>
      <c r="O168" s="138">
        <v>4</v>
      </c>
      <c r="P168" s="123"/>
      <c r="Q168" s="124" t="str">
        <f t="shared" ref="Q168:Q170" si="135">IF(OR(R168="Preventivo",R168="Detectivo"),"Probabilidad",IF(R168="Correctivo","Impacto",""))</f>
        <v/>
      </c>
      <c r="R168" s="125"/>
      <c r="S168" s="125"/>
      <c r="T168" s="126" t="str">
        <f t="shared" si="130"/>
        <v/>
      </c>
      <c r="U168" s="125"/>
      <c r="V168" s="125"/>
      <c r="W168" s="125"/>
      <c r="X168" s="127" t="str">
        <f t="shared" ref="X168:X170" si="136">IFERROR(IF(AND(Q167="Probabilidad",Q168="Probabilidad"),(Z167-(+Z167*T168)),IF(AND(Q167="Impacto",Q168="Probabilidad"),(Z166-(+Z166*T168)),IF(Q168="Impacto",Z167,""))),"")</f>
        <v/>
      </c>
      <c r="Y168" s="128" t="str">
        <f t="shared" si="131"/>
        <v/>
      </c>
      <c r="Z168" s="129" t="str">
        <f t="shared" si="132"/>
        <v/>
      </c>
      <c r="AA168" s="128" t="str">
        <f t="shared" si="133"/>
        <v/>
      </c>
      <c r="AB168" s="137" t="str">
        <f t="shared" ref="AB168:AB170" si="137">IFERROR(IF(AND(Q167="Impacto",Q168="Impacto"),(AB167-(+AB167*T168)),IF(AND(Q167="Probabilidad",Q168="Impacto"),(AB166-(+AB166*T168)),IF(Q168="Probabilidad",AB167,""))),"")</f>
        <v/>
      </c>
      <c r="AC168" s="130" t="str">
        <f>IFERROR(IF(OR(AND(Y168="Muy Baja",AA168="Leve"),AND(Y168="Muy Baja",AA168="Menor"),AND(Y168="Baja",AA168="Leve")),"Bajo",IF(OR(AND(Y168="Muy baja",AA168="Moderado"),AND(Y168="Baja",AA168="Menor"),AND(Y168="Baja",AA168="Moderado"),AND(Y168="Media",AA168="Leve"),AND(Y168="Media",AA168="Menor"),AND(Y168="Media",AA168="Moderado"),AND(Y168="Alta",AA168="Leve"),AND(Y168="Alta",AA168="Menor")),"Moderado",IF(OR(AND(Y168="Muy Baja",AA168="Mayor"),AND(Y168="Baja",AA168="Mayor"),AND(Y168="Media",AA168="Mayor"),AND(Y168="Alta",AA168="Moderado"),AND(Y168="Alta",AA168="Mayor"),AND(Y168="Muy Alta",AA168="Leve"),AND(Y168="Muy Alta",AA168="Menor"),AND(Y168="Muy Alta",AA168="Moderado"),AND(Y168="Muy Alta",AA168="Mayor")),"Alto",IF(OR(AND(Y168="Muy Baja",AA168="Catastrófico"),AND(Y168="Baja",AA168="Catastrófico"),AND(Y168="Media",AA168="Catastrófico"),AND(Y168="Alta",AA168="Catastrófico"),AND(Y168="Muy Alta",AA168="Catastrófico")),"Extremo","")))),"")</f>
        <v/>
      </c>
      <c r="AD168" s="131"/>
      <c r="AE168" s="132"/>
      <c r="AF168" s="133"/>
      <c r="AG168" s="134"/>
      <c r="AH168" s="134"/>
      <c r="AI168" s="132"/>
      <c r="AJ168" s="133"/>
    </row>
    <row r="169" spans="1:36" hidden="1" x14ac:dyDescent="0.3">
      <c r="A169" s="222"/>
      <c r="B169" s="224"/>
      <c r="C169" s="224"/>
      <c r="D169" s="224"/>
      <c r="E169" s="227"/>
      <c r="F169" s="224"/>
      <c r="G169" s="254"/>
      <c r="H169" s="242"/>
      <c r="I169" s="233"/>
      <c r="J169" s="236"/>
      <c r="K169" s="239">
        <f ca="1">IF(NOT(ISERROR(MATCH(J169,_xlfn.ANCHORARRAY(#REF!),0))),I180&amp;"Por favor no seleccionar los criterios de impacto",J169)</f>
        <v>0</v>
      </c>
      <c r="L169" s="242"/>
      <c r="M169" s="233"/>
      <c r="N169" s="230"/>
      <c r="O169" s="138">
        <v>5</v>
      </c>
      <c r="P169" s="123"/>
      <c r="Q169" s="124" t="str">
        <f t="shared" si="135"/>
        <v/>
      </c>
      <c r="R169" s="125"/>
      <c r="S169" s="125"/>
      <c r="T169" s="126" t="str">
        <f t="shared" si="130"/>
        <v/>
      </c>
      <c r="U169" s="125"/>
      <c r="V169" s="125"/>
      <c r="W169" s="125"/>
      <c r="X169" s="127" t="str">
        <f t="shared" si="136"/>
        <v/>
      </c>
      <c r="Y169" s="128" t="str">
        <f t="shared" si="131"/>
        <v/>
      </c>
      <c r="Z169" s="129" t="str">
        <f t="shared" si="132"/>
        <v/>
      </c>
      <c r="AA169" s="128" t="str">
        <f t="shared" si="133"/>
        <v/>
      </c>
      <c r="AB169" s="137" t="str">
        <f t="shared" si="137"/>
        <v/>
      </c>
      <c r="AC169" s="130" t="str">
        <f t="shared" si="134"/>
        <v/>
      </c>
      <c r="AD169" s="131"/>
      <c r="AE169" s="132"/>
      <c r="AF169" s="133"/>
      <c r="AG169" s="134"/>
      <c r="AH169" s="134"/>
      <c r="AI169" s="132"/>
      <c r="AJ169" s="133"/>
    </row>
    <row r="170" spans="1:36" ht="43.5" hidden="1" customHeight="1" x14ac:dyDescent="0.3">
      <c r="A170" s="211"/>
      <c r="B170" s="225"/>
      <c r="C170" s="225"/>
      <c r="D170" s="225"/>
      <c r="E170" s="228"/>
      <c r="F170" s="225"/>
      <c r="G170" s="255"/>
      <c r="H170" s="243"/>
      <c r="I170" s="234"/>
      <c r="J170" s="237"/>
      <c r="K170" s="240">
        <f ca="1">IF(NOT(ISERROR(MATCH(J170,_xlfn.ANCHORARRAY(E179),0))),I181&amp;"Por favor no seleccionar los criterios de impacto",J170)</f>
        <v>0</v>
      </c>
      <c r="L170" s="243"/>
      <c r="M170" s="234"/>
      <c r="N170" s="231"/>
      <c r="O170" s="138">
        <v>6</v>
      </c>
      <c r="P170" s="123"/>
      <c r="Q170" s="124" t="str">
        <f t="shared" si="135"/>
        <v/>
      </c>
      <c r="R170" s="125"/>
      <c r="S170" s="125"/>
      <c r="T170" s="126" t="str">
        <f t="shared" si="130"/>
        <v/>
      </c>
      <c r="U170" s="125"/>
      <c r="V170" s="125"/>
      <c r="W170" s="125"/>
      <c r="X170" s="127" t="str">
        <f t="shared" si="136"/>
        <v/>
      </c>
      <c r="Y170" s="128" t="str">
        <f t="shared" si="131"/>
        <v/>
      </c>
      <c r="Z170" s="129" t="str">
        <f t="shared" si="132"/>
        <v/>
      </c>
      <c r="AA170" s="128" t="str">
        <f t="shared" si="133"/>
        <v/>
      </c>
      <c r="AB170" s="137" t="str">
        <f t="shared" si="137"/>
        <v/>
      </c>
      <c r="AC170" s="130" t="str">
        <f t="shared" si="134"/>
        <v/>
      </c>
      <c r="AD170" s="131"/>
      <c r="AE170" s="132"/>
      <c r="AF170" s="133"/>
      <c r="AG170" s="134"/>
      <c r="AH170" s="134"/>
      <c r="AI170" s="132"/>
      <c r="AJ170" s="133"/>
    </row>
    <row r="171" spans="1:36" x14ac:dyDescent="0.3">
      <c r="A171" s="210">
        <v>2</v>
      </c>
      <c r="B171" s="223" t="s">
        <v>132</v>
      </c>
      <c r="C171" s="223" t="s">
        <v>280</v>
      </c>
      <c r="D171" s="223" t="s">
        <v>281</v>
      </c>
      <c r="E171" s="226" t="s">
        <v>282</v>
      </c>
      <c r="F171" s="223" t="s">
        <v>123</v>
      </c>
      <c r="G171" s="341">
        <v>10</v>
      </c>
      <c r="H171" s="241" t="str">
        <f>IF(G171&lt;=0,"",IF(G171&lt;=2,"Muy Baja",IF(G171&lt;=24,"Baja",IF(G171&lt;=500,"Media",IF(G171&lt;=5000,"Alta","Muy Alta")))))</f>
        <v>Baja</v>
      </c>
      <c r="I171" s="232">
        <f>IF(H171="","",IF(H171="Muy Baja",0.2,IF(H171="Baja",0.4,IF(H171="Media",0.6,IF(H171="Alta",0.8,IF(H171="Muy Alta",1,))))))</f>
        <v>0.4</v>
      </c>
      <c r="J171" s="344" t="s">
        <v>147</v>
      </c>
      <c r="K171" s="238" t="str">
        <f>IF(NOT(ISERROR(MATCH(J171,'[5]Tabla Impacto'!$B$221:$B$223,0))),'[5]Tabla Impacto'!$F$223&amp;"Por favor no seleccionar los criterios de impacto(Afectación Económica o presupuestal y Pérdida Reputacional)",J171)</f>
        <v xml:space="preserve">     Entre 10 y 50 SMLMV </v>
      </c>
      <c r="L171" s="241" t="str">
        <f>IF(OR(K171='[5]Tabla Impacto'!$C$11,K171='[5]Tabla Impacto'!$D$11),"Leve",IF(OR(K171='[5]Tabla Impacto'!$C$12,K171='[5]Tabla Impacto'!$D$12),"Menor",IF(OR(K171='[5]Tabla Impacto'!$C$13,K171='[5]Tabla Impacto'!$D$13),"Moderado",IF(OR(K171='[5]Tabla Impacto'!$C$14,K171='[5]Tabla Impacto'!$D$14),"Mayor",IF(OR(K171='[5]Tabla Impacto'!$C$15,K171='[5]Tabla Impacto'!$D$15),"Catastrófico","")))))</f>
        <v>Menor</v>
      </c>
      <c r="M171" s="232">
        <f>IF(L171="","",IF(L171="Leve",0.2,IF(L171="Menor",0.4,IF(L171="Moderado",0.6,IF(L171="Mayor",0.8,IF(L171="Catastrófico",1,))))))</f>
        <v>0.4</v>
      </c>
      <c r="N171" s="229" t="str">
        <f>IF(OR(AND(H171="Muy Baja",L171="Leve"),AND(H171="Muy Baja",L171="Menor"),AND(H171="Baja",L171="Leve")),"Bajo",IF(OR(AND(H171="Muy baja",L171="Moderado"),AND(H171="Baja",L171="Menor"),AND(H171="Baja",L171="Moderado"),AND(H171="Media",L171="Leve"),AND(H171="Media",L171="Menor"),AND(H171="Media",L171="Moderado"),AND(H171="Alta",L171="Leve"),AND(H171="Alta",L171="Menor")),"Moderado",IF(OR(AND(H171="Muy Baja",L171="Mayor"),AND(H171="Baja",L171="Mayor"),AND(H171="Media",L171="Mayor"),AND(H171="Alta",L171="Moderado"),AND(H171="Alta",L171="Mayor"),AND(H171="Muy Alta",L171="Leve"),AND(H171="Muy Alta",L171="Menor"),AND(H171="Muy Alta",L171="Moderado"),AND(H171="Muy Alta",L171="Mayor")),"Alto",IF(OR(AND(H171="Muy Baja",L171="Catastrófico"),AND(H171="Baja",L171="Catastrófico"),AND(H171="Media",L171="Catastrófico"),AND(H171="Alta",L171="Catastrófico"),AND(H171="Muy Alta",L171="Catastrófico")),"Extremo",""))))</f>
        <v>Moderado</v>
      </c>
      <c r="O171" s="210">
        <v>2</v>
      </c>
      <c r="P171" s="337" t="s">
        <v>283</v>
      </c>
      <c r="Q171" s="220" t="str">
        <f>IF(OR(R171="Preventivo",R171="Detectivo"),"Probabilidad",IF(R171="Correctivo","Impacto",""))</f>
        <v>Probabilidad</v>
      </c>
      <c r="R171" s="202" t="s">
        <v>14</v>
      </c>
      <c r="S171" s="202" t="s">
        <v>9</v>
      </c>
      <c r="T171" s="200" t="str">
        <f>IF(AND(R171="Preventivo",S171="Automático"),"50%",IF(AND(R171="Preventivo",S171="Manual"),"40%",IF(AND(R171="Detectivo",S171="Automático"),"40%",IF(AND(R171="Detectivo",S171="Manual"),"30%",IF(AND(R171="Correctivo",S171="Automático"),"35%",IF(AND(R171="Correctivo",S171="Manual"),"25%",""))))))</f>
        <v>40%</v>
      </c>
      <c r="U171" s="202" t="s">
        <v>19</v>
      </c>
      <c r="V171" s="202" t="s">
        <v>22</v>
      </c>
      <c r="W171" s="202" t="s">
        <v>119</v>
      </c>
      <c r="X171" s="139">
        <f>IFERROR(IF(Q171="Probabilidad",(I171-(+I171*T171)),IF(Q171="Impacto",I171,"")),"")</f>
        <v>0.24</v>
      </c>
      <c r="Y171" s="204" t="str">
        <f>IFERROR(IF(X171="","",IF(X171&lt;=0.2,"Muy Baja",IF(X171&lt;=0.4,"Baja",IF(X171&lt;=0.6,"Media",IF(X171&lt;=0.8,"Alta","Muy Alta"))))),"")</f>
        <v>Baja</v>
      </c>
      <c r="Z171" s="200">
        <f>+X171</f>
        <v>0.24</v>
      </c>
      <c r="AA171" s="204" t="str">
        <f>IFERROR(IF(AB171="","",IF(AB171&lt;=0.2,"Leve",IF(AB171&lt;=0.4,"Menor",IF(AB171&lt;=0.6,"Moderado",IF(AB171&lt;=0.8,"Mayor","Catastrófico"))))),"")</f>
        <v>Menor</v>
      </c>
      <c r="AB171" s="206">
        <f>IFERROR(IF(Q171="Impacto",(M171-(+M171*T171)),IF(Q171="Probabilidad",M171,"")),"")</f>
        <v>0.4</v>
      </c>
      <c r="AC171" s="208" t="str">
        <f>IFERROR(IF(OR(AND(Y171="Muy Baja",AA171="Leve"),AND(Y171="Muy Baja",AA171="Menor"),AND(Y171="Baja",AA171="Leve")),"Bajo",IF(OR(AND(Y171="Muy baja",AA171="Moderado"),AND(Y171="Baja",AA171="Menor"),AND(Y171="Baja",AA171="Moderado"),AND(Y171="Media",AA171="Leve"),AND(Y171="Media",AA171="Menor"),AND(Y171="Media",AA171="Moderado"),AND(Y171="Alta",AA171="Leve"),AND(Y171="Alta",AA171="Menor")),"Moderado",IF(OR(AND(Y171="Muy Baja",AA171="Mayor"),AND(Y171="Baja",AA171="Mayor"),AND(Y171="Media",AA171="Mayor"),AND(Y171="Alta",AA171="Moderado"),AND(Y171="Alta",AA171="Mayor"),AND(Y171="Muy Alta",AA171="Leve"),AND(Y171="Muy Alta",AA171="Menor"),AND(Y171="Muy Alta",AA171="Moderado"),AND(Y171="Muy Alta",AA171="Mayor")),"Alto",IF(OR(AND(Y171="Muy Baja",AA171="Catastrófico"),AND(Y171="Baja",AA171="Catastrófico"),AND(Y171="Media",AA171="Catastrófico"),AND(Y171="Alta",AA171="Catastrófico"),AND(Y171="Muy Alta",AA171="Catastrófico")),"Extremo","")))),"")</f>
        <v>Moderado</v>
      </c>
      <c r="AD171" s="202" t="s">
        <v>32</v>
      </c>
      <c r="AE171" s="212"/>
      <c r="AF171" s="214"/>
      <c r="AG171" s="216"/>
      <c r="AH171" s="216"/>
      <c r="AI171" s="212"/>
      <c r="AJ171" s="214"/>
    </row>
    <row r="172" spans="1:36" ht="114.75" customHeight="1" x14ac:dyDescent="0.3">
      <c r="A172" s="222"/>
      <c r="B172" s="224"/>
      <c r="C172" s="224"/>
      <c r="D172" s="224"/>
      <c r="E172" s="227"/>
      <c r="F172" s="224"/>
      <c r="G172" s="342"/>
      <c r="H172" s="242"/>
      <c r="I172" s="233"/>
      <c r="J172" s="345"/>
      <c r="K172" s="239">
        <f ca="1">IF(NOT(ISERROR(MATCH(J172,_xlfn.ANCHORARRAY(E181),0))),I183&amp;"Por favor no seleccionar los criterios de impacto",J172)</f>
        <v>0</v>
      </c>
      <c r="L172" s="242"/>
      <c r="M172" s="233"/>
      <c r="N172" s="230"/>
      <c r="O172" s="211"/>
      <c r="P172" s="338"/>
      <c r="Q172" s="221"/>
      <c r="R172" s="203"/>
      <c r="S172" s="203"/>
      <c r="T172" s="201"/>
      <c r="U172" s="203"/>
      <c r="V172" s="203"/>
      <c r="W172" s="203"/>
      <c r="X172" s="139" t="str">
        <f>IFERROR(IF(AND(Q171="Probabilidad",Q172="Probabilidad"),(Z171-(+Z171*T172)),IF(Q172="Probabilidad",(I171-(+I171*T172)),IF(Q172="Impacto",Z171,""))),"")</f>
        <v/>
      </c>
      <c r="Y172" s="205"/>
      <c r="Z172" s="201"/>
      <c r="AA172" s="205"/>
      <c r="AB172" s="207"/>
      <c r="AC172" s="209"/>
      <c r="AD172" s="203"/>
      <c r="AE172" s="213"/>
      <c r="AF172" s="215"/>
      <c r="AG172" s="217"/>
      <c r="AH172" s="217"/>
      <c r="AI172" s="213"/>
      <c r="AJ172" s="215"/>
    </row>
    <row r="173" spans="1:36" hidden="1" x14ac:dyDescent="0.3">
      <c r="A173" s="222"/>
      <c r="B173" s="224"/>
      <c r="C173" s="224"/>
      <c r="D173" s="224"/>
      <c r="E173" s="227"/>
      <c r="F173" s="224"/>
      <c r="G173" s="342"/>
      <c r="H173" s="242"/>
      <c r="I173" s="233"/>
      <c r="J173" s="345"/>
      <c r="K173" s="239">
        <f ca="1">IF(NOT(ISERROR(MATCH(J173,_xlfn.ANCHORARRAY(E182),0))),I184&amp;"Por favor no seleccionar los criterios de impacto",J173)</f>
        <v>0</v>
      </c>
      <c r="L173" s="242"/>
      <c r="M173" s="233"/>
      <c r="N173" s="230"/>
      <c r="O173" s="138">
        <v>3</v>
      </c>
      <c r="P173" s="135"/>
      <c r="Q173" s="124" t="str">
        <f>IF(OR(R173="Preventivo",R173="Detectivo"),"Probabilidad",IF(R173="Correctivo","Impacto",""))</f>
        <v/>
      </c>
      <c r="R173" s="125"/>
      <c r="S173" s="125"/>
      <c r="T173" s="126" t="str">
        <f t="shared" ref="T173:T176" si="138">IF(AND(R173="Preventivo",S173="Automático"),"50%",IF(AND(R173="Preventivo",S173="Manual"),"40%",IF(AND(R173="Detectivo",S173="Automático"),"40%",IF(AND(R173="Detectivo",S173="Manual"),"30%",IF(AND(R173="Correctivo",S173="Automático"),"35%",IF(AND(R173="Correctivo",S173="Manual"),"25%",""))))))</f>
        <v/>
      </c>
      <c r="U173" s="125"/>
      <c r="V173" s="125"/>
      <c r="W173" s="125"/>
      <c r="X173" s="127" t="str">
        <f>IFERROR(IF(AND(Q172="Probabilidad",Q173="Probabilidad"),(Z172-(+Z172*T173)),IF(AND(Q172="Impacto",Q173="Probabilidad"),(Z171-(+Z171*T173)),IF(Q173="Impacto",Z172,""))),"")</f>
        <v/>
      </c>
      <c r="Y173" s="128" t="str">
        <f t="shared" si="131"/>
        <v/>
      </c>
      <c r="Z173" s="129" t="str">
        <f t="shared" ref="Z173:Z176" si="139">+X173</f>
        <v/>
      </c>
      <c r="AA173" s="128" t="str">
        <f t="shared" si="133"/>
        <v/>
      </c>
      <c r="AB173" s="137" t="str">
        <f>IFERROR(IF(AND(Q172="Impacto",Q173="Impacto"),(AB172-(+AB172*T173)),IF(AND(Q172="Probabilidad",Q173="Impacto"),(AB171-(+AB171*T173)),IF(Q173="Probabilidad",AB172,""))),"")</f>
        <v/>
      </c>
      <c r="AC173" s="130" t="str">
        <f t="shared" ref="AC173" si="140">IFERROR(IF(OR(AND(Y173="Muy Baja",AA173="Leve"),AND(Y173="Muy Baja",AA173="Menor"),AND(Y173="Baja",AA173="Leve")),"Bajo",IF(OR(AND(Y173="Muy baja",AA173="Moderado"),AND(Y173="Baja",AA173="Menor"),AND(Y173="Baja",AA173="Moderado"),AND(Y173="Media",AA173="Leve"),AND(Y173="Media",AA173="Menor"),AND(Y173="Media",AA173="Moderado"),AND(Y173="Alta",AA173="Leve"),AND(Y173="Alta",AA173="Menor")),"Moderado",IF(OR(AND(Y173="Muy Baja",AA173="Mayor"),AND(Y173="Baja",AA173="Mayor"),AND(Y173="Media",AA173="Mayor"),AND(Y173="Alta",AA173="Moderado"),AND(Y173="Alta",AA173="Mayor"),AND(Y173="Muy Alta",AA173="Leve"),AND(Y173="Muy Alta",AA173="Menor"),AND(Y173="Muy Alta",AA173="Moderado"),AND(Y173="Muy Alta",AA173="Mayor")),"Alto",IF(OR(AND(Y173="Muy Baja",AA173="Catastrófico"),AND(Y173="Baja",AA173="Catastrófico"),AND(Y173="Media",AA173="Catastrófico"),AND(Y173="Alta",AA173="Catastrófico"),AND(Y173="Muy Alta",AA173="Catastrófico")),"Extremo","")))),"")</f>
        <v/>
      </c>
      <c r="AD173" s="131"/>
      <c r="AE173" s="132"/>
      <c r="AF173" s="133"/>
      <c r="AG173" s="134"/>
      <c r="AH173" s="134"/>
      <c r="AI173" s="132"/>
      <c r="AJ173" s="133"/>
    </row>
    <row r="174" spans="1:36" hidden="1" x14ac:dyDescent="0.3">
      <c r="A174" s="222"/>
      <c r="B174" s="224"/>
      <c r="C174" s="224"/>
      <c r="D174" s="224"/>
      <c r="E174" s="227"/>
      <c r="F174" s="224"/>
      <c r="G174" s="342"/>
      <c r="H174" s="242"/>
      <c r="I174" s="233"/>
      <c r="J174" s="345"/>
      <c r="K174" s="239">
        <f ca="1">IF(NOT(ISERROR(MATCH(J174,_xlfn.ANCHORARRAY(E183),0))),I185&amp;"Por favor no seleccionar los criterios de impacto",J174)</f>
        <v>0</v>
      </c>
      <c r="L174" s="242"/>
      <c r="M174" s="233"/>
      <c r="N174" s="230"/>
      <c r="O174" s="138">
        <v>4</v>
      </c>
      <c r="P174" s="123"/>
      <c r="Q174" s="124" t="str">
        <f t="shared" ref="Q174:Q176" si="141">IF(OR(R174="Preventivo",R174="Detectivo"),"Probabilidad",IF(R174="Correctivo","Impacto",""))</f>
        <v/>
      </c>
      <c r="R174" s="125"/>
      <c r="S174" s="125"/>
      <c r="T174" s="126" t="str">
        <f t="shared" si="138"/>
        <v/>
      </c>
      <c r="U174" s="125"/>
      <c r="V174" s="125"/>
      <c r="W174" s="125"/>
      <c r="X174" s="127" t="str">
        <f t="shared" ref="X174:X176" si="142">IFERROR(IF(AND(Q173="Probabilidad",Q174="Probabilidad"),(Z173-(+Z173*T174)),IF(AND(Q173="Impacto",Q174="Probabilidad"),(Z172-(+Z172*T174)),IF(Q174="Impacto",Z173,""))),"")</f>
        <v/>
      </c>
      <c r="Y174" s="128" t="str">
        <f t="shared" si="131"/>
        <v/>
      </c>
      <c r="Z174" s="129" t="str">
        <f t="shared" si="139"/>
        <v/>
      </c>
      <c r="AA174" s="128" t="str">
        <f t="shared" si="133"/>
        <v/>
      </c>
      <c r="AB174" s="137" t="str">
        <f t="shared" ref="AB174:AB176" si="143">IFERROR(IF(AND(Q173="Impacto",Q174="Impacto"),(AB173-(+AB173*T174)),IF(AND(Q173="Probabilidad",Q174="Impacto"),(AB172-(+AB172*T174)),IF(Q174="Probabilidad",AB173,""))),"")</f>
        <v/>
      </c>
      <c r="AC174" s="130" t="str">
        <f>IFERROR(IF(OR(AND(Y174="Muy Baja",AA174="Leve"),AND(Y174="Muy Baja",AA174="Menor"),AND(Y174="Baja",AA174="Leve")),"Bajo",IF(OR(AND(Y174="Muy baja",AA174="Moderado"),AND(Y174="Baja",AA174="Menor"),AND(Y174="Baja",AA174="Moderado"),AND(Y174="Media",AA174="Leve"),AND(Y174="Media",AA174="Menor"),AND(Y174="Media",AA174="Moderado"),AND(Y174="Alta",AA174="Leve"),AND(Y174="Alta",AA174="Menor")),"Moderado",IF(OR(AND(Y174="Muy Baja",AA174="Mayor"),AND(Y174="Baja",AA174="Mayor"),AND(Y174="Media",AA174="Mayor"),AND(Y174="Alta",AA174="Moderado"),AND(Y174="Alta",AA174="Mayor"),AND(Y174="Muy Alta",AA174="Leve"),AND(Y174="Muy Alta",AA174="Menor"),AND(Y174="Muy Alta",AA174="Moderado"),AND(Y174="Muy Alta",AA174="Mayor")),"Alto",IF(OR(AND(Y174="Muy Baja",AA174="Catastrófico"),AND(Y174="Baja",AA174="Catastrófico"),AND(Y174="Media",AA174="Catastrófico"),AND(Y174="Alta",AA174="Catastrófico"),AND(Y174="Muy Alta",AA174="Catastrófico")),"Extremo","")))),"")</f>
        <v/>
      </c>
      <c r="AD174" s="131"/>
      <c r="AE174" s="132"/>
      <c r="AF174" s="133"/>
      <c r="AG174" s="134"/>
      <c r="AH174" s="134"/>
      <c r="AI174" s="132"/>
      <c r="AJ174" s="133"/>
    </row>
    <row r="175" spans="1:36" hidden="1" x14ac:dyDescent="0.3">
      <c r="A175" s="222"/>
      <c r="B175" s="224"/>
      <c r="C175" s="224"/>
      <c r="D175" s="224"/>
      <c r="E175" s="227"/>
      <c r="F175" s="224"/>
      <c r="G175" s="342"/>
      <c r="H175" s="242"/>
      <c r="I175" s="233"/>
      <c r="J175" s="345"/>
      <c r="K175" s="239">
        <f ca="1">IF(NOT(ISERROR(MATCH(J175,_xlfn.ANCHORARRAY(E184),0))),I186&amp;"Por favor no seleccionar los criterios de impacto",J175)</f>
        <v>0</v>
      </c>
      <c r="L175" s="242"/>
      <c r="M175" s="233"/>
      <c r="N175" s="230"/>
      <c r="O175" s="138">
        <v>5</v>
      </c>
      <c r="P175" s="123"/>
      <c r="Q175" s="124" t="str">
        <f t="shared" si="141"/>
        <v/>
      </c>
      <c r="R175" s="125"/>
      <c r="S175" s="125"/>
      <c r="T175" s="126" t="str">
        <f t="shared" si="138"/>
        <v/>
      </c>
      <c r="U175" s="125"/>
      <c r="V175" s="125"/>
      <c r="W175" s="125"/>
      <c r="X175" s="127" t="str">
        <f t="shared" si="142"/>
        <v/>
      </c>
      <c r="Y175" s="128" t="str">
        <f t="shared" si="131"/>
        <v/>
      </c>
      <c r="Z175" s="129" t="str">
        <f t="shared" si="139"/>
        <v/>
      </c>
      <c r="AA175" s="128" t="str">
        <f t="shared" si="133"/>
        <v/>
      </c>
      <c r="AB175" s="137" t="str">
        <f t="shared" si="143"/>
        <v/>
      </c>
      <c r="AC175" s="130" t="str">
        <f t="shared" ref="AC175:AC176" si="144">IFERROR(IF(OR(AND(Y175="Muy Baja",AA175="Leve"),AND(Y175="Muy Baja",AA175="Menor"),AND(Y175="Baja",AA175="Leve")),"Bajo",IF(OR(AND(Y175="Muy baja",AA175="Moderado"),AND(Y175="Baja",AA175="Menor"),AND(Y175="Baja",AA175="Moderado"),AND(Y175="Media",AA175="Leve"),AND(Y175="Media",AA175="Menor"),AND(Y175="Media",AA175="Moderado"),AND(Y175="Alta",AA175="Leve"),AND(Y175="Alta",AA175="Menor")),"Moderado",IF(OR(AND(Y175="Muy Baja",AA175="Mayor"),AND(Y175="Baja",AA175="Mayor"),AND(Y175="Media",AA175="Mayor"),AND(Y175="Alta",AA175="Moderado"),AND(Y175="Alta",AA175="Mayor"),AND(Y175="Muy Alta",AA175="Leve"),AND(Y175="Muy Alta",AA175="Menor"),AND(Y175="Muy Alta",AA175="Moderado"),AND(Y175="Muy Alta",AA175="Mayor")),"Alto",IF(OR(AND(Y175="Muy Baja",AA175="Catastrófico"),AND(Y175="Baja",AA175="Catastrófico"),AND(Y175="Media",AA175="Catastrófico"),AND(Y175="Alta",AA175="Catastrófico"),AND(Y175="Muy Alta",AA175="Catastrófico")),"Extremo","")))),"")</f>
        <v/>
      </c>
      <c r="AD175" s="131"/>
      <c r="AE175" s="132"/>
      <c r="AF175" s="133"/>
      <c r="AG175" s="134"/>
      <c r="AH175" s="134"/>
      <c r="AI175" s="132"/>
      <c r="AJ175" s="133"/>
    </row>
    <row r="176" spans="1:36" hidden="1" x14ac:dyDescent="0.3">
      <c r="A176" s="211"/>
      <c r="B176" s="225"/>
      <c r="C176" s="225"/>
      <c r="D176" s="225"/>
      <c r="E176" s="228"/>
      <c r="F176" s="225"/>
      <c r="G176" s="343"/>
      <c r="H176" s="243"/>
      <c r="I176" s="234"/>
      <c r="J176" s="346"/>
      <c r="K176" s="240">
        <f ca="1">IF(NOT(ISERROR(MATCH(J176,_xlfn.ANCHORARRAY(E185),0))),I187&amp;"Por favor no seleccionar los criterios de impacto",J176)</f>
        <v>0</v>
      </c>
      <c r="L176" s="243"/>
      <c r="M176" s="234"/>
      <c r="N176" s="231"/>
      <c r="O176" s="138">
        <v>6</v>
      </c>
      <c r="P176" s="123"/>
      <c r="Q176" s="124" t="str">
        <f t="shared" si="141"/>
        <v/>
      </c>
      <c r="R176" s="125"/>
      <c r="S176" s="125"/>
      <c r="T176" s="126" t="str">
        <f t="shared" si="138"/>
        <v/>
      </c>
      <c r="U176" s="125"/>
      <c r="V176" s="125"/>
      <c r="W176" s="125"/>
      <c r="X176" s="127" t="str">
        <f t="shared" si="142"/>
        <v/>
      </c>
      <c r="Y176" s="128" t="str">
        <f t="shared" si="131"/>
        <v/>
      </c>
      <c r="Z176" s="129" t="str">
        <f t="shared" si="139"/>
        <v/>
      </c>
      <c r="AA176" s="128" t="str">
        <f t="shared" si="133"/>
        <v/>
      </c>
      <c r="AB176" s="137" t="str">
        <f t="shared" si="143"/>
        <v/>
      </c>
      <c r="AC176" s="130" t="str">
        <f t="shared" si="144"/>
        <v/>
      </c>
      <c r="AD176" s="131"/>
      <c r="AE176" s="132"/>
      <c r="AF176" s="133"/>
      <c r="AG176" s="134"/>
      <c r="AH176" s="134"/>
      <c r="AI176" s="132"/>
      <c r="AJ176" s="133"/>
    </row>
    <row r="177" spans="1:36" x14ac:dyDescent="0.3">
      <c r="A177" s="290" t="s">
        <v>222</v>
      </c>
      <c r="B177" s="291"/>
      <c r="C177" s="291"/>
      <c r="D177" s="291"/>
      <c r="E177" s="291"/>
      <c r="F177" s="291"/>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1"/>
      <c r="AE177" s="291"/>
      <c r="AF177" s="291"/>
      <c r="AG177" s="291"/>
      <c r="AH177" s="291"/>
      <c r="AI177" s="291"/>
      <c r="AJ177" s="292"/>
    </row>
    <row r="178" spans="1:36" x14ac:dyDescent="0.3">
      <c r="A178" s="293"/>
      <c r="B178" s="294"/>
      <c r="C178" s="294"/>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c r="AA178" s="294"/>
      <c r="AB178" s="294"/>
      <c r="AC178" s="294"/>
      <c r="AD178" s="294"/>
      <c r="AE178" s="294"/>
      <c r="AF178" s="294"/>
      <c r="AG178" s="294"/>
      <c r="AH178" s="294"/>
      <c r="AI178" s="294"/>
      <c r="AJ178" s="295"/>
    </row>
    <row r="179" spans="1:36" ht="23.25" x14ac:dyDescent="0.3">
      <c r="A179" s="256" t="s">
        <v>43</v>
      </c>
      <c r="B179" s="257"/>
      <c r="C179" s="263" t="s">
        <v>284</v>
      </c>
      <c r="D179" s="264"/>
      <c r="E179" s="264"/>
      <c r="F179" s="264"/>
      <c r="G179" s="264"/>
      <c r="H179" s="264"/>
      <c r="I179" s="264"/>
      <c r="J179" s="264"/>
      <c r="K179" s="264"/>
      <c r="L179" s="264"/>
      <c r="M179" s="264"/>
      <c r="N179" s="265"/>
      <c r="O179" s="296"/>
      <c r="P179" s="296"/>
      <c r="Q179" s="296"/>
      <c r="R179" s="7"/>
      <c r="S179" s="7"/>
      <c r="T179" s="7"/>
      <c r="U179" s="7"/>
      <c r="V179" s="7"/>
      <c r="W179" s="7"/>
      <c r="X179" s="7"/>
      <c r="Y179" s="7"/>
      <c r="Z179" s="7"/>
      <c r="AA179" s="7"/>
      <c r="AB179" s="7"/>
      <c r="AC179" s="7"/>
      <c r="AD179" s="7"/>
      <c r="AE179" s="7"/>
      <c r="AF179" s="7"/>
      <c r="AG179" s="7"/>
      <c r="AH179" s="7"/>
      <c r="AI179" s="7"/>
      <c r="AJ179" s="7"/>
    </row>
    <row r="180" spans="1:36" ht="23.25" x14ac:dyDescent="0.3">
      <c r="A180" s="256" t="s">
        <v>130</v>
      </c>
      <c r="B180" s="257"/>
      <c r="C180" s="263" t="s">
        <v>285</v>
      </c>
      <c r="D180" s="264"/>
      <c r="E180" s="264"/>
      <c r="F180" s="264"/>
      <c r="G180" s="264"/>
      <c r="H180" s="264"/>
      <c r="I180" s="264"/>
      <c r="J180" s="264"/>
      <c r="K180" s="264"/>
      <c r="L180" s="264"/>
      <c r="M180" s="264"/>
      <c r="N180" s="265"/>
      <c r="O180" s="24"/>
      <c r="P180" s="7"/>
      <c r="Q180" s="7"/>
      <c r="R180" s="7"/>
      <c r="S180" s="7"/>
      <c r="T180" s="7"/>
      <c r="U180" s="7"/>
      <c r="V180" s="7"/>
      <c r="W180" s="7"/>
      <c r="X180" s="7"/>
      <c r="Y180" s="7"/>
      <c r="Z180" s="7"/>
      <c r="AA180" s="7"/>
      <c r="AB180" s="7"/>
      <c r="AC180" s="7"/>
      <c r="AD180" s="7"/>
      <c r="AE180" s="7"/>
      <c r="AF180" s="7"/>
      <c r="AG180" s="7"/>
      <c r="AH180" s="7"/>
      <c r="AI180" s="7"/>
      <c r="AJ180" s="7"/>
    </row>
    <row r="181" spans="1:36" ht="23.25" x14ac:dyDescent="0.3">
      <c r="A181" s="256" t="s">
        <v>44</v>
      </c>
      <c r="B181" s="257"/>
      <c r="C181" s="266" t="s">
        <v>286</v>
      </c>
      <c r="D181" s="267"/>
      <c r="E181" s="267"/>
      <c r="F181" s="267"/>
      <c r="G181" s="267"/>
      <c r="H181" s="267"/>
      <c r="I181" s="267"/>
      <c r="J181" s="267"/>
      <c r="K181" s="267"/>
      <c r="L181" s="267"/>
      <c r="M181" s="267"/>
      <c r="N181" s="268"/>
      <c r="O181" s="24"/>
      <c r="P181" s="7"/>
      <c r="Q181" s="7"/>
      <c r="R181" s="7"/>
      <c r="S181" s="7"/>
      <c r="T181" s="7"/>
      <c r="U181" s="7"/>
      <c r="V181" s="7"/>
      <c r="W181" s="7"/>
      <c r="X181" s="7"/>
      <c r="Y181" s="7"/>
      <c r="Z181" s="7"/>
      <c r="AA181" s="7"/>
      <c r="AB181" s="7"/>
      <c r="AC181" s="7"/>
      <c r="AD181" s="7"/>
      <c r="AE181" s="7"/>
      <c r="AF181" s="7"/>
      <c r="AG181" s="7"/>
      <c r="AH181" s="7"/>
      <c r="AI181" s="7"/>
      <c r="AJ181" s="7"/>
    </row>
    <row r="182" spans="1:36" x14ac:dyDescent="0.3">
      <c r="A182" s="297" t="s">
        <v>138</v>
      </c>
      <c r="B182" s="298"/>
      <c r="C182" s="298"/>
      <c r="D182" s="298"/>
      <c r="E182" s="298"/>
      <c r="F182" s="298"/>
      <c r="G182" s="299"/>
      <c r="H182" s="297" t="s">
        <v>139</v>
      </c>
      <c r="I182" s="298"/>
      <c r="J182" s="298"/>
      <c r="K182" s="298"/>
      <c r="L182" s="298"/>
      <c r="M182" s="298"/>
      <c r="N182" s="299"/>
      <c r="O182" s="297" t="s">
        <v>140</v>
      </c>
      <c r="P182" s="298"/>
      <c r="Q182" s="298"/>
      <c r="R182" s="298"/>
      <c r="S182" s="298"/>
      <c r="T182" s="298"/>
      <c r="U182" s="298"/>
      <c r="V182" s="298"/>
      <c r="W182" s="299"/>
      <c r="X182" s="297" t="s">
        <v>141</v>
      </c>
      <c r="Y182" s="298"/>
      <c r="Z182" s="298"/>
      <c r="AA182" s="298"/>
      <c r="AB182" s="298"/>
      <c r="AC182" s="298"/>
      <c r="AD182" s="299"/>
      <c r="AE182" s="297" t="s">
        <v>34</v>
      </c>
      <c r="AF182" s="298"/>
      <c r="AG182" s="298"/>
      <c r="AH182" s="298"/>
      <c r="AI182" s="298"/>
      <c r="AJ182" s="299"/>
    </row>
    <row r="183" spans="1:36" x14ac:dyDescent="0.3">
      <c r="A183" s="258" t="s">
        <v>0</v>
      </c>
      <c r="B183" s="251" t="s">
        <v>2</v>
      </c>
      <c r="C183" s="245" t="s">
        <v>3</v>
      </c>
      <c r="D183" s="245" t="s">
        <v>42</v>
      </c>
      <c r="E183" s="260" t="s">
        <v>1</v>
      </c>
      <c r="F183" s="252" t="s">
        <v>50</v>
      </c>
      <c r="G183" s="245" t="s">
        <v>134</v>
      </c>
      <c r="H183" s="247" t="s">
        <v>33</v>
      </c>
      <c r="I183" s="248" t="s">
        <v>5</v>
      </c>
      <c r="J183" s="252" t="s">
        <v>87</v>
      </c>
      <c r="K183" s="252" t="s">
        <v>92</v>
      </c>
      <c r="L183" s="250" t="s">
        <v>45</v>
      </c>
      <c r="M183" s="248" t="s">
        <v>5</v>
      </c>
      <c r="N183" s="245" t="s">
        <v>48</v>
      </c>
      <c r="O183" s="261" t="s">
        <v>11</v>
      </c>
      <c r="P183" s="246" t="s">
        <v>160</v>
      </c>
      <c r="Q183" s="252" t="s">
        <v>12</v>
      </c>
      <c r="R183" s="246" t="s">
        <v>8</v>
      </c>
      <c r="S183" s="246"/>
      <c r="T183" s="246"/>
      <c r="U183" s="246"/>
      <c r="V183" s="246"/>
      <c r="W183" s="246"/>
      <c r="X183" s="244" t="s">
        <v>137</v>
      </c>
      <c r="Y183" s="244" t="s">
        <v>46</v>
      </c>
      <c r="Z183" s="244" t="s">
        <v>5</v>
      </c>
      <c r="AA183" s="244" t="s">
        <v>47</v>
      </c>
      <c r="AB183" s="244" t="s">
        <v>5</v>
      </c>
      <c r="AC183" s="244" t="s">
        <v>49</v>
      </c>
      <c r="AD183" s="261" t="s">
        <v>29</v>
      </c>
      <c r="AE183" s="246" t="s">
        <v>34</v>
      </c>
      <c r="AF183" s="246" t="s">
        <v>35</v>
      </c>
      <c r="AG183" s="246" t="s">
        <v>36</v>
      </c>
      <c r="AH183" s="246" t="s">
        <v>38</v>
      </c>
      <c r="AI183" s="246" t="s">
        <v>37</v>
      </c>
      <c r="AJ183" s="246" t="s">
        <v>39</v>
      </c>
    </row>
    <row r="184" spans="1:36" ht="78.75" x14ac:dyDescent="0.3">
      <c r="A184" s="259"/>
      <c r="B184" s="251"/>
      <c r="C184" s="246"/>
      <c r="D184" s="246"/>
      <c r="E184" s="251"/>
      <c r="F184" s="245"/>
      <c r="G184" s="246"/>
      <c r="H184" s="245"/>
      <c r="I184" s="249"/>
      <c r="J184" s="245"/>
      <c r="K184" s="245"/>
      <c r="L184" s="249"/>
      <c r="M184" s="249"/>
      <c r="N184" s="246"/>
      <c r="O184" s="262"/>
      <c r="P184" s="246"/>
      <c r="Q184" s="245"/>
      <c r="R184" s="6" t="s">
        <v>13</v>
      </c>
      <c r="S184" s="6" t="s">
        <v>17</v>
      </c>
      <c r="T184" s="6" t="s">
        <v>28</v>
      </c>
      <c r="U184" s="6" t="s">
        <v>18</v>
      </c>
      <c r="V184" s="6" t="s">
        <v>21</v>
      </c>
      <c r="W184" s="6" t="s">
        <v>24</v>
      </c>
      <c r="X184" s="244"/>
      <c r="Y184" s="244"/>
      <c r="Z184" s="244"/>
      <c r="AA184" s="244"/>
      <c r="AB184" s="244"/>
      <c r="AC184" s="244"/>
      <c r="AD184" s="262"/>
      <c r="AE184" s="246"/>
      <c r="AF184" s="246"/>
      <c r="AG184" s="246"/>
      <c r="AH184" s="246"/>
      <c r="AI184" s="246"/>
      <c r="AJ184" s="246"/>
    </row>
    <row r="185" spans="1:36" x14ac:dyDescent="0.3">
      <c r="A185" s="210">
        <v>1</v>
      </c>
      <c r="B185" s="223" t="s">
        <v>133</v>
      </c>
      <c r="C185" s="223" t="s">
        <v>287</v>
      </c>
      <c r="D185" s="223" t="s">
        <v>277</v>
      </c>
      <c r="E185" s="226" t="s">
        <v>288</v>
      </c>
      <c r="F185" s="223" t="s">
        <v>123</v>
      </c>
      <c r="G185" s="253">
        <v>6</v>
      </c>
      <c r="H185" s="241" t="str">
        <f>IF(G185&lt;=0,"",IF(G185&lt;=2,"Muy Baja",IF(G185&lt;=24,"Baja",IF(G185&lt;=500,"Media",IF(G185&lt;=5000,"Alta","Muy Alta")))))</f>
        <v>Baja</v>
      </c>
      <c r="I185" s="232">
        <f>IF(H185="","",IF(H185="Muy Baja",0.2,IF(H185="Baja",0.4,IF(H185="Media",0.6,IF(H185="Alta",0.8,IF(H185="Muy Alta",1,))))))</f>
        <v>0.4</v>
      </c>
      <c r="J185" s="235" t="s">
        <v>147</v>
      </c>
      <c r="K185" s="238" t="str">
        <f>IF(NOT(ISERROR(MATCH(J185,'[6]Tabla Impacto'!$B$221:$B$223,0))),'[6]Tabla Impacto'!$F$223&amp;"Por favor no seleccionar los criterios de impacto(Afectación Económica o presupuestal y Pérdida Reputacional)",J185)</f>
        <v xml:space="preserve">     Entre 10 y 50 SMLMV </v>
      </c>
      <c r="L185" s="241" t="str">
        <f>IF(OR(K185='[6]Tabla Impacto'!$C$11,K185='[6]Tabla Impacto'!$D$11),"Leve",IF(OR(K185='[6]Tabla Impacto'!$C$12,K185='[6]Tabla Impacto'!$D$12),"Menor",IF(OR(K185='[6]Tabla Impacto'!$C$13,K185='[6]Tabla Impacto'!$D$13),"Moderado",IF(OR(K185='[6]Tabla Impacto'!$C$14,K185='[6]Tabla Impacto'!$D$14),"Mayor",IF(OR(K185='[6]Tabla Impacto'!$C$15,K185='[6]Tabla Impacto'!$D$15),"Catastrófico","")))))</f>
        <v>Menor</v>
      </c>
      <c r="M185" s="232">
        <f>IF(L185="","",IF(L185="Leve",0.2,IF(L185="Menor",0.4,IF(L185="Moderado",0.6,IF(L185="Mayor",0.8,IF(L185="Catastrófico",1,))))))</f>
        <v>0.4</v>
      </c>
      <c r="N185" s="229" t="str">
        <f>IF(OR(AND(H185="Muy Baja",L185="Leve"),AND(H185="Muy Baja",L185="Menor"),AND(H185="Baja",L185="Leve")),"Bajo",IF(OR(AND(H185="Muy baja",L185="Moderado"),AND(H185="Baja",L185="Menor"),AND(H185="Baja",L185="Moderado"),AND(H185="Media",L185="Leve"),AND(H185="Media",L185="Menor"),AND(H185="Media",L185="Moderado"),AND(H185="Alta",L185="Leve"),AND(H185="Alta",L185="Menor")),"Moderado",IF(OR(AND(H185="Muy Baja",L185="Mayor"),AND(H185="Baja",L185="Mayor"),AND(H185="Media",L185="Mayor"),AND(H185="Alta",L185="Moderado"),AND(H185="Alta",L185="Mayor"),AND(H185="Muy Alta",L185="Leve"),AND(H185="Muy Alta",L185="Menor"),AND(H185="Muy Alta",L185="Moderado"),AND(H185="Muy Alta",L185="Mayor")),"Alto",IF(OR(AND(H185="Muy Baja",L185="Catastrófico"),AND(H185="Baja",L185="Catastrófico"),AND(H185="Media",L185="Catastrófico"),AND(H185="Alta",L185="Catastrófico"),AND(H185="Muy Alta",L185="Catastrófico")),"Extremo",""))))</f>
        <v>Moderado</v>
      </c>
      <c r="O185" s="210">
        <v>1</v>
      </c>
      <c r="P185" s="337" t="s">
        <v>289</v>
      </c>
      <c r="Q185" s="220" t="str">
        <f>IF(OR(R185="Preventivo",R185="Detectivo"),"Probabilidad",IF(R185="Correctivo","Impacto",""))</f>
        <v>Probabilidad</v>
      </c>
      <c r="R185" s="202" t="s">
        <v>14</v>
      </c>
      <c r="S185" s="202" t="s">
        <v>9</v>
      </c>
      <c r="T185" s="200" t="str">
        <f>IF(AND(R185="Preventivo",S185="Automático"),"50%",IF(AND(R185="Preventivo",S185="Manual"),"40%",IF(AND(R185="Detectivo",S185="Automático"),"40%",IF(AND(R185="Detectivo",S185="Manual"),"30%",IF(AND(R185="Correctivo",S185="Automático"),"35%",IF(AND(R185="Correctivo",S185="Manual"),"25%",""))))))</f>
        <v>40%</v>
      </c>
      <c r="U185" s="202" t="s">
        <v>19</v>
      </c>
      <c r="V185" s="202" t="s">
        <v>22</v>
      </c>
      <c r="W185" s="202" t="s">
        <v>119</v>
      </c>
      <c r="X185" s="139">
        <f>IFERROR(IF(Q185="Probabilidad",(I185-(+I185*T185)),IF(Q185="Impacto",I185,"")),"")</f>
        <v>0.24</v>
      </c>
      <c r="Y185" s="204" t="str">
        <f>IFERROR(IF(X185="","",IF(X185&lt;=0.2,"Muy Baja",IF(X185&lt;=0.4,"Baja",IF(X185&lt;=0.6,"Media",IF(X185&lt;=0.8,"Alta","Muy Alta"))))),"")</f>
        <v>Baja</v>
      </c>
      <c r="Z185" s="200">
        <f>+X185</f>
        <v>0.24</v>
      </c>
      <c r="AA185" s="204" t="str">
        <f>IFERROR(IF(AB185="","",IF(AB185&lt;=0.2,"Leve",IF(AB185&lt;=0.4,"Menor",IF(AB185&lt;=0.6,"Moderado",IF(AB185&lt;=0.8,"Mayor","Catastrófico"))))),"")</f>
        <v>Menor</v>
      </c>
      <c r="AB185" s="200">
        <f>IFERROR(IF(Q185="Impacto",(M185-(+M185*T185)),IF(Q185="Probabilidad",M185,"")),"")</f>
        <v>0.4</v>
      </c>
      <c r="AC185" s="208" t="str">
        <f>IFERROR(IF(OR(AND(Y185="Muy Baja",AA185="Leve"),AND(Y185="Muy Baja",AA185="Menor"),AND(Y185="Baja",AA185="Leve")),"Bajo",IF(OR(AND(Y185="Muy baja",AA185="Moderado"),AND(Y185="Baja",AA185="Menor"),AND(Y185="Baja",AA185="Moderado"),AND(Y185="Media",AA185="Leve"),AND(Y185="Media",AA185="Menor"),AND(Y185="Media",AA185="Moderado"),AND(Y185="Alta",AA185="Leve"),AND(Y185="Alta",AA185="Menor")),"Moderado",IF(OR(AND(Y185="Muy Baja",AA185="Mayor"),AND(Y185="Baja",AA185="Mayor"),AND(Y185="Media",AA185="Mayor"),AND(Y185="Alta",AA185="Moderado"),AND(Y185="Alta",AA185="Mayor"),AND(Y185="Muy Alta",AA185="Leve"),AND(Y185="Muy Alta",AA185="Menor"),AND(Y185="Muy Alta",AA185="Moderado"),AND(Y185="Muy Alta",AA185="Mayor")),"Alto",IF(OR(AND(Y185="Muy Baja",AA185="Catastrófico"),AND(Y185="Baja",AA185="Catastrófico"),AND(Y185="Media",AA185="Catastrófico"),AND(Y185="Alta",AA185="Catastrófico"),AND(Y185="Muy Alta",AA185="Catastrófico")),"Extremo","")))),"")</f>
        <v>Moderado</v>
      </c>
      <c r="AD185" s="202" t="s">
        <v>32</v>
      </c>
      <c r="AE185" s="212"/>
      <c r="AF185" s="214"/>
      <c r="AG185" s="216"/>
      <c r="AH185" s="216"/>
      <c r="AI185" s="212"/>
      <c r="AJ185" s="214"/>
    </row>
    <row r="186" spans="1:36" ht="156.75" customHeight="1" x14ac:dyDescent="0.3">
      <c r="A186" s="222"/>
      <c r="B186" s="224"/>
      <c r="C186" s="224"/>
      <c r="D186" s="224"/>
      <c r="E186" s="227"/>
      <c r="F186" s="224"/>
      <c r="G186" s="254"/>
      <c r="H186" s="242"/>
      <c r="I186" s="233"/>
      <c r="J186" s="236"/>
      <c r="K186" s="239">
        <f ca="1">IF(NOT(ISERROR(MATCH(J186,_xlfn.ANCHORARRAY(E194),0))),I196&amp;"Por favor no seleccionar los criterios de impacto",J186)</f>
        <v>0</v>
      </c>
      <c r="L186" s="242"/>
      <c r="M186" s="233"/>
      <c r="N186" s="230"/>
      <c r="O186" s="211"/>
      <c r="P186" s="338"/>
      <c r="Q186" s="221"/>
      <c r="R186" s="203"/>
      <c r="S186" s="203"/>
      <c r="T186" s="201"/>
      <c r="U186" s="203"/>
      <c r="V186" s="203"/>
      <c r="W186" s="203"/>
      <c r="X186" s="127" t="str">
        <f>IFERROR(IF(AND(Q185="Probabilidad",Q186="Probabilidad"),(Z185-(+Z185*T186)),IF(Q186="Probabilidad",(I185-(+I185*T186)),IF(Q186="Impacto",Z185,""))),"")</f>
        <v/>
      </c>
      <c r="Y186" s="205"/>
      <c r="Z186" s="201"/>
      <c r="AA186" s="205"/>
      <c r="AB186" s="201"/>
      <c r="AC186" s="209"/>
      <c r="AD186" s="203"/>
      <c r="AE186" s="213"/>
      <c r="AF186" s="215"/>
      <c r="AG186" s="217"/>
      <c r="AH186" s="217"/>
      <c r="AI186" s="213"/>
      <c r="AJ186" s="215"/>
    </row>
    <row r="187" spans="1:36" hidden="1" x14ac:dyDescent="0.3">
      <c r="A187" s="222"/>
      <c r="B187" s="224"/>
      <c r="C187" s="224"/>
      <c r="D187" s="224"/>
      <c r="E187" s="227"/>
      <c r="F187" s="224"/>
      <c r="G187" s="254"/>
      <c r="H187" s="242"/>
      <c r="I187" s="233"/>
      <c r="J187" s="236"/>
      <c r="K187" s="239">
        <f ca="1">IF(NOT(ISERROR(MATCH(J187,_xlfn.ANCHORARRAY(E195),0))),I197&amp;"Por favor no seleccionar los criterios de impacto",J187)</f>
        <v>0</v>
      </c>
      <c r="L187" s="242"/>
      <c r="M187" s="233"/>
      <c r="N187" s="230"/>
      <c r="O187" s="138">
        <v>3</v>
      </c>
      <c r="P187" s="135"/>
      <c r="Q187" s="124" t="str">
        <f>IF(OR(R187="Preventivo",R187="Detectivo"),"Probabilidad",IF(R187="Correctivo","Impacto",""))</f>
        <v/>
      </c>
      <c r="R187" s="125"/>
      <c r="S187" s="125"/>
      <c r="T187" s="126" t="str">
        <f t="shared" ref="T187:T190" si="145">IF(AND(R187="Preventivo",S187="Automático"),"50%",IF(AND(R187="Preventivo",S187="Manual"),"40%",IF(AND(R187="Detectivo",S187="Automático"),"40%",IF(AND(R187="Detectivo",S187="Manual"),"30%",IF(AND(R187="Correctivo",S187="Automático"),"35%",IF(AND(R187="Correctivo",S187="Manual"),"25%",""))))))</f>
        <v/>
      </c>
      <c r="U187" s="125"/>
      <c r="V187" s="125"/>
      <c r="W187" s="125"/>
      <c r="X187" s="127" t="str">
        <f>IFERROR(IF(AND(Q186="Probabilidad",Q187="Probabilidad"),(Z186-(+Z186*T187)),IF(AND(Q186="Impacto",Q187="Probabilidad"),(Z185-(+Z185*T187)),IF(Q187="Impacto",Z186,""))),"")</f>
        <v/>
      </c>
      <c r="Y187" s="128" t="str">
        <f t="shared" ref="Y187:Y190" si="146">IFERROR(IF(X187="","",IF(X187&lt;=0.2,"Muy Baja",IF(X187&lt;=0.4,"Baja",IF(X187&lt;=0.6,"Media",IF(X187&lt;=0.8,"Alta","Muy Alta"))))),"")</f>
        <v/>
      </c>
      <c r="Z187" s="129" t="str">
        <f t="shared" ref="Z187:Z190" si="147">+X187</f>
        <v/>
      </c>
      <c r="AA187" s="128" t="str">
        <f t="shared" ref="AA187:AA190" si="148">IFERROR(IF(AB187="","",IF(AB187&lt;=0.2,"Leve",IF(AB187&lt;=0.4,"Menor",IF(AB187&lt;=0.6,"Moderado",IF(AB187&lt;=0.8,"Mayor","Catastrófico"))))),"")</f>
        <v/>
      </c>
      <c r="AB187" s="137" t="str">
        <f>IFERROR(IF(AND(Q186="Impacto",Q187="Impacto"),(AB186-(+AB186*T187)),IF(AND(Q186="Probabilidad",Q187="Impacto"),(AB185-(+AB185*T187)),IF(Q187="Probabilidad",AB186,""))),"")</f>
        <v/>
      </c>
      <c r="AC187" s="130" t="str">
        <f t="shared" ref="AC187:AC190" si="149">IFERROR(IF(OR(AND(Y187="Muy Baja",AA187="Leve"),AND(Y187="Muy Baja",AA187="Menor"),AND(Y187="Baja",AA187="Leve")),"Bajo",IF(OR(AND(Y187="Muy baja",AA187="Moderado"),AND(Y187="Baja",AA187="Menor"),AND(Y187="Baja",AA187="Moderado"),AND(Y187="Media",AA187="Leve"),AND(Y187="Media",AA187="Menor"),AND(Y187="Media",AA187="Moderado"),AND(Y187="Alta",AA187="Leve"),AND(Y187="Alta",AA187="Menor")),"Moderado",IF(OR(AND(Y187="Muy Baja",AA187="Mayor"),AND(Y187="Baja",AA187="Mayor"),AND(Y187="Media",AA187="Mayor"),AND(Y187="Alta",AA187="Moderado"),AND(Y187="Alta",AA187="Mayor"),AND(Y187="Muy Alta",AA187="Leve"),AND(Y187="Muy Alta",AA187="Menor"),AND(Y187="Muy Alta",AA187="Moderado"),AND(Y187="Muy Alta",AA187="Mayor")),"Alto",IF(OR(AND(Y187="Muy Baja",AA187="Catastrófico"),AND(Y187="Baja",AA187="Catastrófico"),AND(Y187="Media",AA187="Catastrófico"),AND(Y187="Alta",AA187="Catastrófico"),AND(Y187="Muy Alta",AA187="Catastrófico")),"Extremo","")))),"")</f>
        <v/>
      </c>
      <c r="AD187" s="131"/>
      <c r="AE187" s="132"/>
      <c r="AF187" s="133"/>
      <c r="AG187" s="134"/>
      <c r="AH187" s="134"/>
      <c r="AI187" s="132"/>
      <c r="AJ187" s="133"/>
    </row>
    <row r="188" spans="1:36" hidden="1" x14ac:dyDescent="0.3">
      <c r="A188" s="222"/>
      <c r="B188" s="224"/>
      <c r="C188" s="224"/>
      <c r="D188" s="224"/>
      <c r="E188" s="227"/>
      <c r="F188" s="224"/>
      <c r="G188" s="254"/>
      <c r="H188" s="242"/>
      <c r="I188" s="233"/>
      <c r="J188" s="236"/>
      <c r="K188" s="239">
        <f ca="1">IF(NOT(ISERROR(MATCH(J188,_xlfn.ANCHORARRAY(E196),0))),I198&amp;"Por favor no seleccionar los criterios de impacto",J188)</f>
        <v>0</v>
      </c>
      <c r="L188" s="242"/>
      <c r="M188" s="233"/>
      <c r="N188" s="230"/>
      <c r="O188" s="138">
        <v>4</v>
      </c>
      <c r="P188" s="123"/>
      <c r="Q188" s="124" t="str">
        <f t="shared" ref="Q188:Q190" si="150">IF(OR(R188="Preventivo",R188="Detectivo"),"Probabilidad",IF(R188="Correctivo","Impacto",""))</f>
        <v/>
      </c>
      <c r="R188" s="125"/>
      <c r="S188" s="125"/>
      <c r="T188" s="126" t="str">
        <f t="shared" si="145"/>
        <v/>
      </c>
      <c r="U188" s="125"/>
      <c r="V188" s="125"/>
      <c r="W188" s="125"/>
      <c r="X188" s="127" t="str">
        <f t="shared" ref="X188:X190" si="151">IFERROR(IF(AND(Q187="Probabilidad",Q188="Probabilidad"),(Z187-(+Z187*T188)),IF(AND(Q187="Impacto",Q188="Probabilidad"),(Z186-(+Z186*T188)),IF(Q188="Impacto",Z187,""))),"")</f>
        <v/>
      </c>
      <c r="Y188" s="128" t="str">
        <f t="shared" si="146"/>
        <v/>
      </c>
      <c r="Z188" s="129" t="str">
        <f t="shared" si="147"/>
        <v/>
      </c>
      <c r="AA188" s="128" t="str">
        <f t="shared" si="148"/>
        <v/>
      </c>
      <c r="AB188" s="137" t="str">
        <f t="shared" ref="AB188:AB190" si="152">IFERROR(IF(AND(Q187="Impacto",Q188="Impacto"),(AB187-(+AB187*T188)),IF(AND(Q187="Probabilidad",Q188="Impacto"),(AB186-(+AB186*T188)),IF(Q188="Probabilidad",AB187,""))),"")</f>
        <v/>
      </c>
      <c r="AC188" s="130" t="str">
        <f>IFERROR(IF(OR(AND(Y188="Muy Baja",AA188="Leve"),AND(Y188="Muy Baja",AA188="Menor"),AND(Y188="Baja",AA188="Leve")),"Bajo",IF(OR(AND(Y188="Muy baja",AA188="Moderado"),AND(Y188="Baja",AA188="Menor"),AND(Y188="Baja",AA188="Moderado"),AND(Y188="Media",AA188="Leve"),AND(Y188="Media",AA188="Menor"),AND(Y188="Media",AA188="Moderado"),AND(Y188="Alta",AA188="Leve"),AND(Y188="Alta",AA188="Menor")),"Moderado",IF(OR(AND(Y188="Muy Baja",AA188="Mayor"),AND(Y188="Baja",AA188="Mayor"),AND(Y188="Media",AA188="Mayor"),AND(Y188="Alta",AA188="Moderado"),AND(Y188="Alta",AA188="Mayor"),AND(Y188="Muy Alta",AA188="Leve"),AND(Y188="Muy Alta",AA188="Menor"),AND(Y188="Muy Alta",AA188="Moderado"),AND(Y188="Muy Alta",AA188="Mayor")),"Alto",IF(OR(AND(Y188="Muy Baja",AA188="Catastrófico"),AND(Y188="Baja",AA188="Catastrófico"),AND(Y188="Media",AA188="Catastrófico"),AND(Y188="Alta",AA188="Catastrófico"),AND(Y188="Muy Alta",AA188="Catastrófico")),"Extremo","")))),"")</f>
        <v/>
      </c>
      <c r="AD188" s="131"/>
      <c r="AE188" s="132"/>
      <c r="AF188" s="133"/>
      <c r="AG188" s="134"/>
      <c r="AH188" s="134"/>
      <c r="AI188" s="132"/>
      <c r="AJ188" s="133"/>
    </row>
    <row r="189" spans="1:36" hidden="1" x14ac:dyDescent="0.3">
      <c r="A189" s="222"/>
      <c r="B189" s="224"/>
      <c r="C189" s="224"/>
      <c r="D189" s="224"/>
      <c r="E189" s="227"/>
      <c r="F189" s="224"/>
      <c r="G189" s="254"/>
      <c r="H189" s="242"/>
      <c r="I189" s="233"/>
      <c r="J189" s="236"/>
      <c r="K189" s="239">
        <f ca="1">IF(NOT(ISERROR(MATCH(J189,_xlfn.ANCHORARRAY(E197),0))),I199&amp;"Por favor no seleccionar los criterios de impacto",J189)</f>
        <v>0</v>
      </c>
      <c r="L189" s="242"/>
      <c r="M189" s="233"/>
      <c r="N189" s="230"/>
      <c r="O189" s="138">
        <v>5</v>
      </c>
      <c r="P189" s="123"/>
      <c r="Q189" s="124" t="str">
        <f t="shared" si="150"/>
        <v/>
      </c>
      <c r="R189" s="125"/>
      <c r="S189" s="125"/>
      <c r="T189" s="126" t="str">
        <f t="shared" si="145"/>
        <v/>
      </c>
      <c r="U189" s="125"/>
      <c r="V189" s="125"/>
      <c r="W189" s="125"/>
      <c r="X189" s="127" t="str">
        <f t="shared" si="151"/>
        <v/>
      </c>
      <c r="Y189" s="128" t="str">
        <f t="shared" si="146"/>
        <v/>
      </c>
      <c r="Z189" s="129" t="str">
        <f t="shared" si="147"/>
        <v/>
      </c>
      <c r="AA189" s="128" t="str">
        <f t="shared" si="148"/>
        <v/>
      </c>
      <c r="AB189" s="137" t="str">
        <f t="shared" si="152"/>
        <v/>
      </c>
      <c r="AC189" s="130" t="str">
        <f t="shared" si="149"/>
        <v/>
      </c>
      <c r="AD189" s="131"/>
      <c r="AE189" s="132"/>
      <c r="AF189" s="133"/>
      <c r="AG189" s="134"/>
      <c r="AH189" s="134"/>
      <c r="AI189" s="132"/>
      <c r="AJ189" s="133"/>
    </row>
    <row r="190" spans="1:36" hidden="1" x14ac:dyDescent="0.3">
      <c r="A190" s="211"/>
      <c r="B190" s="225"/>
      <c r="C190" s="225"/>
      <c r="D190" s="225"/>
      <c r="E190" s="228"/>
      <c r="F190" s="225"/>
      <c r="G190" s="255"/>
      <c r="H190" s="243"/>
      <c r="I190" s="234"/>
      <c r="J190" s="237"/>
      <c r="K190" s="240">
        <f ca="1">IF(NOT(ISERROR(MATCH(J190,_xlfn.ANCHORARRAY(E198),0))),I200&amp;"Por favor no seleccionar los criterios de impacto",J190)</f>
        <v>0</v>
      </c>
      <c r="L190" s="243"/>
      <c r="M190" s="234"/>
      <c r="N190" s="231"/>
      <c r="O190" s="138">
        <v>6</v>
      </c>
      <c r="P190" s="123"/>
      <c r="Q190" s="124" t="str">
        <f t="shared" si="150"/>
        <v/>
      </c>
      <c r="R190" s="125"/>
      <c r="S190" s="125"/>
      <c r="T190" s="126" t="str">
        <f t="shared" si="145"/>
        <v/>
      </c>
      <c r="U190" s="125"/>
      <c r="V190" s="125"/>
      <c r="W190" s="125"/>
      <c r="X190" s="127" t="str">
        <f t="shared" si="151"/>
        <v/>
      </c>
      <c r="Y190" s="128" t="str">
        <f t="shared" si="146"/>
        <v/>
      </c>
      <c r="Z190" s="129" t="str">
        <f t="shared" si="147"/>
        <v/>
      </c>
      <c r="AA190" s="128" t="str">
        <f t="shared" si="148"/>
        <v/>
      </c>
      <c r="AB190" s="137" t="str">
        <f t="shared" si="152"/>
        <v/>
      </c>
      <c r="AC190" s="130" t="str">
        <f t="shared" si="149"/>
        <v/>
      </c>
      <c r="AD190" s="131"/>
      <c r="AE190" s="132"/>
      <c r="AF190" s="133"/>
      <c r="AG190" s="134"/>
      <c r="AH190" s="134"/>
      <c r="AI190" s="132"/>
      <c r="AJ190" s="133"/>
    </row>
    <row r="192" spans="1:36" x14ac:dyDescent="0.3">
      <c r="A192" s="290" t="s">
        <v>222</v>
      </c>
      <c r="B192" s="291"/>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2"/>
    </row>
    <row r="193" spans="1:36" x14ac:dyDescent="0.3">
      <c r="A193" s="293"/>
      <c r="B193" s="294"/>
      <c r="C193" s="294"/>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4"/>
      <c r="AE193" s="294"/>
      <c r="AF193" s="294"/>
      <c r="AG193" s="294"/>
      <c r="AH193" s="294"/>
      <c r="AI193" s="294"/>
      <c r="AJ193" s="295"/>
    </row>
    <row r="194" spans="1:36" ht="23.25" x14ac:dyDescent="0.3">
      <c r="A194" s="256" t="s">
        <v>43</v>
      </c>
      <c r="B194" s="257"/>
      <c r="C194" s="263" t="s">
        <v>290</v>
      </c>
      <c r="D194" s="264"/>
      <c r="E194" s="264"/>
      <c r="F194" s="264"/>
      <c r="G194" s="264"/>
      <c r="H194" s="264"/>
      <c r="I194" s="264"/>
      <c r="J194" s="264"/>
      <c r="K194" s="264"/>
      <c r="L194" s="264"/>
      <c r="M194" s="264"/>
      <c r="N194" s="265"/>
      <c r="O194" s="296"/>
      <c r="P194" s="296"/>
      <c r="Q194" s="296"/>
      <c r="R194" s="7"/>
      <c r="S194" s="7"/>
      <c r="T194" s="7"/>
      <c r="U194" s="7"/>
      <c r="V194" s="7"/>
      <c r="W194" s="7"/>
      <c r="X194" s="7"/>
      <c r="Y194" s="7"/>
      <c r="Z194" s="7"/>
      <c r="AA194" s="7"/>
      <c r="AB194" s="7"/>
      <c r="AC194" s="7"/>
      <c r="AD194" s="7"/>
      <c r="AE194" s="7"/>
      <c r="AF194" s="7"/>
      <c r="AG194" s="7"/>
      <c r="AH194" s="7"/>
      <c r="AI194" s="7"/>
      <c r="AJ194" s="7"/>
    </row>
    <row r="195" spans="1:36" ht="23.25" x14ac:dyDescent="0.3">
      <c r="A195" s="256" t="s">
        <v>130</v>
      </c>
      <c r="B195" s="257"/>
      <c r="C195" s="263" t="s">
        <v>291</v>
      </c>
      <c r="D195" s="264"/>
      <c r="E195" s="264"/>
      <c r="F195" s="264"/>
      <c r="G195" s="264"/>
      <c r="H195" s="264"/>
      <c r="I195" s="264"/>
      <c r="J195" s="264"/>
      <c r="K195" s="264"/>
      <c r="L195" s="264"/>
      <c r="M195" s="264"/>
      <c r="N195" s="265"/>
      <c r="O195" s="24"/>
      <c r="P195" s="7"/>
      <c r="Q195" s="7"/>
      <c r="R195" s="7"/>
      <c r="S195" s="7"/>
      <c r="T195" s="7"/>
      <c r="U195" s="7"/>
      <c r="V195" s="7"/>
      <c r="W195" s="7"/>
      <c r="X195" s="7"/>
      <c r="Y195" s="7"/>
      <c r="Z195" s="7"/>
      <c r="AA195" s="7"/>
      <c r="AB195" s="7"/>
      <c r="AC195" s="7"/>
      <c r="AD195" s="7"/>
      <c r="AE195" s="7"/>
      <c r="AF195" s="7"/>
      <c r="AG195" s="7"/>
      <c r="AH195" s="7"/>
      <c r="AI195" s="7"/>
      <c r="AJ195" s="7"/>
    </row>
    <row r="196" spans="1:36" ht="23.25" x14ac:dyDescent="0.3">
      <c r="A196" s="256" t="s">
        <v>44</v>
      </c>
      <c r="B196" s="257"/>
      <c r="C196" s="266" t="s">
        <v>292</v>
      </c>
      <c r="D196" s="267"/>
      <c r="E196" s="267"/>
      <c r="F196" s="267"/>
      <c r="G196" s="267"/>
      <c r="H196" s="267"/>
      <c r="I196" s="267"/>
      <c r="J196" s="267"/>
      <c r="K196" s="267"/>
      <c r="L196" s="267"/>
      <c r="M196" s="267"/>
      <c r="N196" s="268"/>
      <c r="O196" s="24"/>
      <c r="P196" s="7"/>
      <c r="Q196" s="7"/>
      <c r="R196" s="7"/>
      <c r="S196" s="7"/>
      <c r="T196" s="7"/>
      <c r="U196" s="7"/>
      <c r="V196" s="7"/>
      <c r="W196" s="7"/>
      <c r="X196" s="7"/>
      <c r="Y196" s="7"/>
      <c r="Z196" s="7"/>
      <c r="AA196" s="7"/>
      <c r="AB196" s="7"/>
      <c r="AC196" s="7"/>
      <c r="AD196" s="7"/>
      <c r="AE196" s="7"/>
      <c r="AF196" s="7"/>
      <c r="AG196" s="7"/>
      <c r="AH196" s="7"/>
      <c r="AI196" s="7"/>
      <c r="AJ196" s="7"/>
    </row>
    <row r="197" spans="1:36" x14ac:dyDescent="0.3">
      <c r="A197" s="297" t="s">
        <v>138</v>
      </c>
      <c r="B197" s="298"/>
      <c r="C197" s="298"/>
      <c r="D197" s="298"/>
      <c r="E197" s="298"/>
      <c r="F197" s="298"/>
      <c r="G197" s="299"/>
      <c r="H197" s="297" t="s">
        <v>139</v>
      </c>
      <c r="I197" s="298"/>
      <c r="J197" s="298"/>
      <c r="K197" s="298"/>
      <c r="L197" s="298"/>
      <c r="M197" s="298"/>
      <c r="N197" s="299"/>
      <c r="O197" s="297" t="s">
        <v>140</v>
      </c>
      <c r="P197" s="298"/>
      <c r="Q197" s="298"/>
      <c r="R197" s="298"/>
      <c r="S197" s="298"/>
      <c r="T197" s="298"/>
      <c r="U197" s="298"/>
      <c r="V197" s="298"/>
      <c r="W197" s="299"/>
      <c r="X197" s="297" t="s">
        <v>141</v>
      </c>
      <c r="Y197" s="298"/>
      <c r="Z197" s="298"/>
      <c r="AA197" s="298"/>
      <c r="AB197" s="298"/>
      <c r="AC197" s="298"/>
      <c r="AD197" s="299"/>
      <c r="AE197" s="297" t="s">
        <v>34</v>
      </c>
      <c r="AF197" s="298"/>
      <c r="AG197" s="298"/>
      <c r="AH197" s="298"/>
      <c r="AI197" s="298"/>
      <c r="AJ197" s="299"/>
    </row>
    <row r="198" spans="1:36" x14ac:dyDescent="0.3">
      <c r="A198" s="258" t="s">
        <v>0</v>
      </c>
      <c r="B198" s="251" t="s">
        <v>2</v>
      </c>
      <c r="C198" s="245" t="s">
        <v>3</v>
      </c>
      <c r="D198" s="245" t="s">
        <v>42</v>
      </c>
      <c r="E198" s="260" t="s">
        <v>1</v>
      </c>
      <c r="F198" s="252" t="s">
        <v>50</v>
      </c>
      <c r="G198" s="245" t="s">
        <v>134</v>
      </c>
      <c r="H198" s="247" t="s">
        <v>33</v>
      </c>
      <c r="I198" s="248" t="s">
        <v>5</v>
      </c>
      <c r="J198" s="252" t="s">
        <v>87</v>
      </c>
      <c r="K198" s="252" t="s">
        <v>92</v>
      </c>
      <c r="L198" s="250" t="s">
        <v>45</v>
      </c>
      <c r="M198" s="248" t="s">
        <v>5</v>
      </c>
      <c r="N198" s="245" t="s">
        <v>48</v>
      </c>
      <c r="O198" s="261" t="s">
        <v>11</v>
      </c>
      <c r="P198" s="246" t="s">
        <v>160</v>
      </c>
      <c r="Q198" s="252" t="s">
        <v>12</v>
      </c>
      <c r="R198" s="246" t="s">
        <v>8</v>
      </c>
      <c r="S198" s="246"/>
      <c r="T198" s="246"/>
      <c r="U198" s="246"/>
      <c r="V198" s="246"/>
      <c r="W198" s="246"/>
      <c r="X198" s="244" t="s">
        <v>137</v>
      </c>
      <c r="Y198" s="244" t="s">
        <v>46</v>
      </c>
      <c r="Z198" s="244" t="s">
        <v>5</v>
      </c>
      <c r="AA198" s="244" t="s">
        <v>47</v>
      </c>
      <c r="AB198" s="244" t="s">
        <v>5</v>
      </c>
      <c r="AC198" s="244" t="s">
        <v>49</v>
      </c>
      <c r="AD198" s="261" t="s">
        <v>29</v>
      </c>
      <c r="AE198" s="246" t="s">
        <v>34</v>
      </c>
      <c r="AF198" s="246" t="s">
        <v>35</v>
      </c>
      <c r="AG198" s="246" t="s">
        <v>36</v>
      </c>
      <c r="AH198" s="246" t="s">
        <v>38</v>
      </c>
      <c r="AI198" s="246" t="s">
        <v>37</v>
      </c>
      <c r="AJ198" s="246" t="s">
        <v>39</v>
      </c>
    </row>
    <row r="199" spans="1:36" ht="78.75" x14ac:dyDescent="0.3">
      <c r="A199" s="259"/>
      <c r="B199" s="251"/>
      <c r="C199" s="246"/>
      <c r="D199" s="246"/>
      <c r="E199" s="251"/>
      <c r="F199" s="245"/>
      <c r="G199" s="246"/>
      <c r="H199" s="245"/>
      <c r="I199" s="249"/>
      <c r="J199" s="245"/>
      <c r="K199" s="245"/>
      <c r="L199" s="249"/>
      <c r="M199" s="249"/>
      <c r="N199" s="246"/>
      <c r="O199" s="262"/>
      <c r="P199" s="246"/>
      <c r="Q199" s="245"/>
      <c r="R199" s="6" t="s">
        <v>13</v>
      </c>
      <c r="S199" s="6" t="s">
        <v>17</v>
      </c>
      <c r="T199" s="6" t="s">
        <v>28</v>
      </c>
      <c r="U199" s="6" t="s">
        <v>18</v>
      </c>
      <c r="V199" s="6" t="s">
        <v>21</v>
      </c>
      <c r="W199" s="6" t="s">
        <v>24</v>
      </c>
      <c r="X199" s="244"/>
      <c r="Y199" s="244"/>
      <c r="Z199" s="244"/>
      <c r="AA199" s="244"/>
      <c r="AB199" s="244"/>
      <c r="AC199" s="244"/>
      <c r="AD199" s="262"/>
      <c r="AE199" s="246"/>
      <c r="AF199" s="246"/>
      <c r="AG199" s="246"/>
      <c r="AH199" s="246"/>
      <c r="AI199" s="246"/>
      <c r="AJ199" s="246"/>
    </row>
    <row r="200" spans="1:36" ht="43.5" customHeight="1" x14ac:dyDescent="0.3">
      <c r="A200" s="210">
        <v>1</v>
      </c>
      <c r="B200" s="223" t="s">
        <v>133</v>
      </c>
      <c r="C200" s="223" t="s">
        <v>293</v>
      </c>
      <c r="D200" s="223" t="s">
        <v>294</v>
      </c>
      <c r="E200" s="226" t="s">
        <v>295</v>
      </c>
      <c r="F200" s="223" t="s">
        <v>123</v>
      </c>
      <c r="G200" s="253">
        <v>525</v>
      </c>
      <c r="H200" s="241" t="str">
        <f>IF(G200&lt;=0,"",IF(G200&lt;=2,"Muy Baja",IF(G200&lt;=24,"Baja",IF(G200&lt;=500,"Media",IF(G200&lt;=5000,"Alta","Muy Alta")))))</f>
        <v>Alta</v>
      </c>
      <c r="I200" s="232">
        <f>IF(H200="","",IF(H200="Muy Baja",0.2,IF(H200="Baja",0.4,IF(H200="Media",0.6,IF(H200="Alta",0.8,IF(H200="Muy Alta",1,))))))</f>
        <v>0.8</v>
      </c>
      <c r="J200" s="235" t="s">
        <v>151</v>
      </c>
      <c r="K200" s="238" t="str">
        <f>IF(NOT(ISERROR(MATCH(J200,'[7]Tabla Impacto'!$B$221:$B$223,0))),'[7]Tabla Impacto'!$F$223&amp;"Por favor no seleccionar los criterios de impacto(Afectación Económica o presupuestal y Pérdida Reputacional)",J200)</f>
        <v xml:space="preserve">     El riesgo afecta la imagen de la entidad internamente, de conocimiento general, nivel interno, de junta dircetiva y accionistas y/o de provedores</v>
      </c>
      <c r="L200" s="241" t="str">
        <f>IF(OR(K200='[7]Tabla Impacto'!$C$11,K200='[7]Tabla Impacto'!$D$11),"Leve",IF(OR(K200='[7]Tabla Impacto'!$C$12,K200='[7]Tabla Impacto'!$D$12),"Menor",IF(OR(K200='[7]Tabla Impacto'!$C$13,K200='[7]Tabla Impacto'!$D$13),"Moderado",IF(OR(K200='[7]Tabla Impacto'!$C$14,K200='[7]Tabla Impacto'!$D$14),"Mayor",IF(OR(K200='[7]Tabla Impacto'!$C$15,K200='[7]Tabla Impacto'!$D$15),"Catastrófico","")))))</f>
        <v>Menor</v>
      </c>
      <c r="M200" s="232">
        <f>IF(L200="","",IF(L200="Leve",0.2,IF(L200="Menor",0.4,IF(L200="Moderado",0.6,IF(L200="Mayor",0.8,IF(L200="Catastrófico",1,))))))</f>
        <v>0.4</v>
      </c>
      <c r="N200" s="229" t="str">
        <f>IF(OR(AND(H200="Muy Baja",L200="Leve"),AND(H200="Muy Baja",L200="Menor"),AND(H200="Baja",L200="Leve")),"Bajo",IF(OR(AND(H200="Muy baja",L200="Moderado"),AND(H200="Baja",L200="Menor"),AND(H200="Baja",L200="Moderado"),AND(H200="Media",L200="Leve"),AND(H200="Media",L200="Menor"),AND(H200="Media",L200="Moderado"),AND(H200="Alta",L200="Leve"),AND(H200="Alta",L200="Menor")),"Moderado",IF(OR(AND(H200="Muy Baja",L200="Mayor"),AND(H200="Baja",L200="Mayor"),AND(H200="Media",L200="Mayor"),AND(H200="Alta",L200="Moderado"),AND(H200="Alta",L200="Mayor"),AND(H200="Muy Alta",L200="Leve"),AND(H200="Muy Alta",L200="Menor"),AND(H200="Muy Alta",L200="Moderado"),AND(H200="Muy Alta",L200="Mayor")),"Alto",IF(OR(AND(H200="Muy Baja",L200="Catastrófico"),AND(H200="Baja",L200="Catastrófico"),AND(H200="Media",L200="Catastrófico"),AND(H200="Alta",L200="Catastrófico"),AND(H200="Muy Alta",L200="Catastrófico")),"Extremo",""))))</f>
        <v>Moderado</v>
      </c>
      <c r="O200" s="138">
        <v>1</v>
      </c>
      <c r="P200" s="218" t="s">
        <v>296</v>
      </c>
      <c r="Q200" s="220" t="str">
        <f>IF(OR(R200="Preventivo",R200="Detectivo"),"Probabilidad",IF(R200="Correctivo","Impacto",""))</f>
        <v>Probabilidad</v>
      </c>
      <c r="R200" s="202" t="s">
        <v>14</v>
      </c>
      <c r="S200" s="202" t="s">
        <v>9</v>
      </c>
      <c r="T200" s="200" t="str">
        <f>IF(AND(R200="Preventivo",S200="Automático"),"50%",IF(AND(R200="Preventivo",S200="Manual"),"40%",IF(AND(R200="Detectivo",S200="Automático"),"40%",IF(AND(R200="Detectivo",S200="Manual"),"30%",IF(AND(R200="Correctivo",S200="Automático"),"35%",IF(AND(R200="Correctivo",S200="Manual"),"25%",""))))))</f>
        <v>40%</v>
      </c>
      <c r="U200" s="202" t="s">
        <v>19</v>
      </c>
      <c r="V200" s="202" t="s">
        <v>22</v>
      </c>
      <c r="W200" s="202" t="s">
        <v>119</v>
      </c>
      <c r="X200" s="313">
        <f>IFERROR(IF(Q200="Probabilidad",(I200-(+I200*T200)),IF(Q200="Impacto",I200,"")),"")</f>
        <v>0.48</v>
      </c>
      <c r="Y200" s="204" t="str">
        <f>IFERROR(IF(X200="","",IF(X200&lt;=0.2,"Muy Baja",IF(X200&lt;=0.4,"Baja",IF(X200&lt;=0.6,"Media",IF(X200&lt;=0.8,"Alta","Muy Alta"))))),"")</f>
        <v>Media</v>
      </c>
      <c r="Z200" s="200">
        <f>+X200</f>
        <v>0.48</v>
      </c>
      <c r="AA200" s="204" t="str">
        <f>IFERROR(IF(AB200="","",IF(AB200&lt;=0.2,"Leve",IF(AB200&lt;=0.4,"Menor",IF(AB200&lt;=0.6,"Moderado",IF(AB200&lt;=0.8,"Mayor","Catastrófico"))))),"")</f>
        <v>Menor</v>
      </c>
      <c r="AB200" s="200">
        <f>IFERROR(IF(Q200="Impacto",(M200-(+M200*T200)),IF(Q200="Probabilidad",M200,"")),"")</f>
        <v>0.4</v>
      </c>
      <c r="AC200" s="208" t="str">
        <f>IFERROR(IF(OR(AND(Y200="Muy Baja",AA200="Leve"),AND(Y200="Muy Baja",AA200="Menor"),AND(Y200="Baja",AA200="Leve")),"Bajo",IF(OR(AND(Y200="Muy baja",AA200="Moderado"),AND(Y200="Baja",AA200="Menor"),AND(Y200="Baja",AA200="Moderado"),AND(Y200="Media",AA200="Leve"),AND(Y200="Media",AA200="Menor"),AND(Y200="Media",AA200="Moderado"),AND(Y200="Alta",AA200="Leve"),AND(Y200="Alta",AA200="Menor")),"Moderado",IF(OR(AND(Y200="Muy Baja",AA200="Mayor"),AND(Y200="Baja",AA200="Mayor"),AND(Y200="Media",AA200="Mayor"),AND(Y200="Alta",AA200="Moderado"),AND(Y200="Alta",AA200="Mayor"),AND(Y200="Muy Alta",AA200="Leve"),AND(Y200="Muy Alta",AA200="Menor"),AND(Y200="Muy Alta",AA200="Moderado"),AND(Y200="Muy Alta",AA200="Mayor")),"Alto",IF(OR(AND(Y200="Muy Baja",AA200="Catastrófico"),AND(Y200="Baja",AA200="Catastrófico"),AND(Y200="Media",AA200="Catastrófico"),AND(Y200="Alta",AA200="Catastrófico"),AND(Y200="Muy Alta",AA200="Catastrófico")),"Extremo","")))),"")</f>
        <v>Moderado</v>
      </c>
      <c r="AD200" s="202" t="s">
        <v>135</v>
      </c>
      <c r="AE200" s="212"/>
      <c r="AF200" s="214"/>
      <c r="AG200" s="216"/>
      <c r="AH200" s="216"/>
      <c r="AI200" s="212"/>
      <c r="AJ200" s="214"/>
    </row>
    <row r="201" spans="1:36" ht="75.75" customHeight="1" x14ac:dyDescent="0.3">
      <c r="A201" s="222"/>
      <c r="B201" s="224"/>
      <c r="C201" s="224"/>
      <c r="D201" s="224"/>
      <c r="E201" s="227"/>
      <c r="F201" s="224"/>
      <c r="G201" s="254"/>
      <c r="H201" s="242"/>
      <c r="I201" s="233"/>
      <c r="J201" s="236"/>
      <c r="K201" s="239">
        <f ca="1">IF(NOT(ISERROR(MATCH(J201,_xlfn.ANCHORARRAY(E212),0))),I214&amp;"Por favor no seleccionar los criterios de impacto",J201)</f>
        <v>0</v>
      </c>
      <c r="L201" s="242"/>
      <c r="M201" s="233"/>
      <c r="N201" s="230"/>
      <c r="O201" s="138">
        <v>2</v>
      </c>
      <c r="P201" s="219"/>
      <c r="Q201" s="221"/>
      <c r="R201" s="203"/>
      <c r="S201" s="203"/>
      <c r="T201" s="201"/>
      <c r="U201" s="203"/>
      <c r="V201" s="203"/>
      <c r="W201" s="203"/>
      <c r="X201" s="314"/>
      <c r="Y201" s="205"/>
      <c r="Z201" s="201"/>
      <c r="AA201" s="205"/>
      <c r="AB201" s="201"/>
      <c r="AC201" s="209"/>
      <c r="AD201" s="203"/>
      <c r="AE201" s="213"/>
      <c r="AF201" s="215"/>
      <c r="AG201" s="217"/>
      <c r="AH201" s="217"/>
      <c r="AI201" s="213"/>
      <c r="AJ201" s="215"/>
    </row>
    <row r="202" spans="1:36" hidden="1" x14ac:dyDescent="0.3">
      <c r="A202" s="222"/>
      <c r="B202" s="224"/>
      <c r="C202" s="224"/>
      <c r="D202" s="224"/>
      <c r="E202" s="227"/>
      <c r="F202" s="224"/>
      <c r="G202" s="254"/>
      <c r="H202" s="242"/>
      <c r="I202" s="233"/>
      <c r="J202" s="236"/>
      <c r="K202" s="239">
        <f ca="1">IF(NOT(ISERROR(MATCH(J202,_xlfn.ANCHORARRAY(E213),0))),I215&amp;"Por favor no seleccionar los criterios de impacto",J202)</f>
        <v>0</v>
      </c>
      <c r="L202" s="242"/>
      <c r="M202" s="233"/>
      <c r="N202" s="230"/>
      <c r="O202" s="138">
        <v>3</v>
      </c>
      <c r="P202" s="135"/>
      <c r="Q202" s="124" t="str">
        <f>IF(OR(R202="Preventivo",R202="Detectivo"),"Probabilidad",IF(R202="Correctivo","Impacto",""))</f>
        <v/>
      </c>
      <c r="R202" s="125"/>
      <c r="S202" s="125"/>
      <c r="T202" s="126" t="str">
        <f t="shared" ref="T202:T205" si="153">IF(AND(R202="Preventivo",S202="Automático"),"50%",IF(AND(R202="Preventivo",S202="Manual"),"40%",IF(AND(R202="Detectivo",S202="Automático"),"40%",IF(AND(R202="Detectivo",S202="Manual"),"30%",IF(AND(R202="Correctivo",S202="Automático"),"35%",IF(AND(R202="Correctivo",S202="Manual"),"25%",""))))))</f>
        <v/>
      </c>
      <c r="U202" s="125"/>
      <c r="V202" s="125"/>
      <c r="W202" s="125"/>
      <c r="X202" s="127" t="str">
        <f>IFERROR(IF(AND(Q201="Probabilidad",Q202="Probabilidad"),(Z201-(+Z201*T202)),IF(AND(Q201="Impacto",Q202="Probabilidad"),(Z200-(+Z200*T202)),IF(Q202="Impacto",Z201,""))),"")</f>
        <v/>
      </c>
      <c r="Y202" s="128" t="str">
        <f t="shared" ref="Y202:Y229" si="154">IFERROR(IF(X202="","",IF(X202&lt;=0.2,"Muy Baja",IF(X202&lt;=0.4,"Baja",IF(X202&lt;=0.6,"Media",IF(X202&lt;=0.8,"Alta","Muy Alta"))))),"")</f>
        <v/>
      </c>
      <c r="Z202" s="129" t="str">
        <f t="shared" ref="Z202:Z205" si="155">+X202</f>
        <v/>
      </c>
      <c r="AA202" s="128" t="str">
        <f t="shared" ref="AA202:AA229" si="156">IFERROR(IF(AB202="","",IF(AB202&lt;=0.2,"Leve",IF(AB202&lt;=0.4,"Menor",IF(AB202&lt;=0.6,"Moderado",IF(AB202&lt;=0.8,"Mayor","Catastrófico"))))),"")</f>
        <v/>
      </c>
      <c r="AB202" s="137" t="str">
        <f>IFERROR(IF(AND(Q201="Impacto",Q202="Impacto"),(AB201-(+AB201*T202)),IF(AND(Q201="Probabilidad",Q202="Impacto"),(AB200-(+AB200*T202)),IF(Q202="Probabilidad",AB201,""))),"")</f>
        <v/>
      </c>
      <c r="AC202" s="130" t="str">
        <f t="shared" ref="AC202:AC205" si="157">IFERROR(IF(OR(AND(Y202="Muy Baja",AA202="Leve"),AND(Y202="Muy Baja",AA202="Menor"),AND(Y202="Baja",AA202="Leve")),"Bajo",IF(OR(AND(Y202="Muy baja",AA202="Moderado"),AND(Y202="Baja",AA202="Menor"),AND(Y202="Baja",AA202="Moderado"),AND(Y202="Media",AA202="Leve"),AND(Y202="Media",AA202="Menor"),AND(Y202="Media",AA202="Moderado"),AND(Y202="Alta",AA202="Leve"),AND(Y202="Alta",AA202="Menor")),"Moderado",IF(OR(AND(Y202="Muy Baja",AA202="Mayor"),AND(Y202="Baja",AA202="Mayor"),AND(Y202="Media",AA202="Mayor"),AND(Y202="Alta",AA202="Moderado"),AND(Y202="Alta",AA202="Mayor"),AND(Y202="Muy Alta",AA202="Leve"),AND(Y202="Muy Alta",AA202="Menor"),AND(Y202="Muy Alta",AA202="Moderado"),AND(Y202="Muy Alta",AA202="Mayor")),"Alto",IF(OR(AND(Y202="Muy Baja",AA202="Catastrófico"),AND(Y202="Baja",AA202="Catastrófico"),AND(Y202="Media",AA202="Catastrófico"),AND(Y202="Alta",AA202="Catastrófico"),AND(Y202="Muy Alta",AA202="Catastrófico")),"Extremo","")))),"")</f>
        <v/>
      </c>
      <c r="AD202" s="131"/>
      <c r="AE202" s="132"/>
      <c r="AF202" s="133"/>
      <c r="AG202" s="134"/>
      <c r="AH202" s="134"/>
      <c r="AI202" s="132"/>
      <c r="AJ202" s="133"/>
    </row>
    <row r="203" spans="1:36" hidden="1" x14ac:dyDescent="0.3">
      <c r="A203" s="222"/>
      <c r="B203" s="224"/>
      <c r="C203" s="224"/>
      <c r="D203" s="224"/>
      <c r="E203" s="227"/>
      <c r="F203" s="224"/>
      <c r="G203" s="254"/>
      <c r="H203" s="242"/>
      <c r="I203" s="233"/>
      <c r="J203" s="236"/>
      <c r="K203" s="239">
        <f ca="1">IF(NOT(ISERROR(MATCH(J203,_xlfn.ANCHORARRAY(E214),0))),I216&amp;"Por favor no seleccionar los criterios de impacto",J203)</f>
        <v>0</v>
      </c>
      <c r="L203" s="242"/>
      <c r="M203" s="233"/>
      <c r="N203" s="230"/>
      <c r="O203" s="138">
        <v>4</v>
      </c>
      <c r="P203" s="123"/>
      <c r="Q203" s="124" t="str">
        <f t="shared" ref="Q203:Q205" si="158">IF(OR(R203="Preventivo",R203="Detectivo"),"Probabilidad",IF(R203="Correctivo","Impacto",""))</f>
        <v/>
      </c>
      <c r="R203" s="125"/>
      <c r="S203" s="125"/>
      <c r="T203" s="126" t="str">
        <f t="shared" si="153"/>
        <v/>
      </c>
      <c r="U203" s="125"/>
      <c r="V203" s="125"/>
      <c r="W203" s="125"/>
      <c r="X203" s="127" t="str">
        <f t="shared" ref="X203:X205" si="159">IFERROR(IF(AND(Q202="Probabilidad",Q203="Probabilidad"),(Z202-(+Z202*T203)),IF(AND(Q202="Impacto",Q203="Probabilidad"),(Z201-(+Z201*T203)),IF(Q203="Impacto",Z202,""))),"")</f>
        <v/>
      </c>
      <c r="Y203" s="128" t="str">
        <f t="shared" si="154"/>
        <v/>
      </c>
      <c r="Z203" s="129" t="str">
        <f t="shared" si="155"/>
        <v/>
      </c>
      <c r="AA203" s="128" t="str">
        <f t="shared" si="156"/>
        <v/>
      </c>
      <c r="AB203" s="137" t="str">
        <f t="shared" ref="AB203:AB205" si="160">IFERROR(IF(AND(Q202="Impacto",Q203="Impacto"),(AB202-(+AB202*T203)),IF(AND(Q202="Probabilidad",Q203="Impacto"),(AB201-(+AB201*T203)),IF(Q203="Probabilidad",AB202,""))),"")</f>
        <v/>
      </c>
      <c r="AC203" s="130" t="str">
        <f>IFERROR(IF(OR(AND(Y203="Muy Baja",AA203="Leve"),AND(Y203="Muy Baja",AA203="Menor"),AND(Y203="Baja",AA203="Leve")),"Bajo",IF(OR(AND(Y203="Muy baja",AA203="Moderado"),AND(Y203="Baja",AA203="Menor"),AND(Y203="Baja",AA203="Moderado"),AND(Y203="Media",AA203="Leve"),AND(Y203="Media",AA203="Menor"),AND(Y203="Media",AA203="Moderado"),AND(Y203="Alta",AA203="Leve"),AND(Y203="Alta",AA203="Menor")),"Moderado",IF(OR(AND(Y203="Muy Baja",AA203="Mayor"),AND(Y203="Baja",AA203="Mayor"),AND(Y203="Media",AA203="Mayor"),AND(Y203="Alta",AA203="Moderado"),AND(Y203="Alta",AA203="Mayor"),AND(Y203="Muy Alta",AA203="Leve"),AND(Y203="Muy Alta",AA203="Menor"),AND(Y203="Muy Alta",AA203="Moderado"),AND(Y203="Muy Alta",AA203="Mayor")),"Alto",IF(OR(AND(Y203="Muy Baja",AA203="Catastrófico"),AND(Y203="Baja",AA203="Catastrófico"),AND(Y203="Media",AA203="Catastrófico"),AND(Y203="Alta",AA203="Catastrófico"),AND(Y203="Muy Alta",AA203="Catastrófico")),"Extremo","")))),"")</f>
        <v/>
      </c>
      <c r="AD203" s="131"/>
      <c r="AE203" s="132"/>
      <c r="AF203" s="133"/>
      <c r="AG203" s="134"/>
      <c r="AH203" s="134"/>
      <c r="AI203" s="132"/>
      <c r="AJ203" s="133"/>
    </row>
    <row r="204" spans="1:36" hidden="1" x14ac:dyDescent="0.3">
      <c r="A204" s="222"/>
      <c r="B204" s="224"/>
      <c r="C204" s="224"/>
      <c r="D204" s="224"/>
      <c r="E204" s="227"/>
      <c r="F204" s="224"/>
      <c r="G204" s="254"/>
      <c r="H204" s="242"/>
      <c r="I204" s="233"/>
      <c r="J204" s="236"/>
      <c r="K204" s="239">
        <f ca="1">IF(NOT(ISERROR(MATCH(J204,_xlfn.ANCHORARRAY(E215),0))),I217&amp;"Por favor no seleccionar los criterios de impacto",J204)</f>
        <v>0</v>
      </c>
      <c r="L204" s="242"/>
      <c r="M204" s="233"/>
      <c r="N204" s="230"/>
      <c r="O204" s="138">
        <v>5</v>
      </c>
      <c r="P204" s="123"/>
      <c r="Q204" s="124" t="str">
        <f t="shared" si="158"/>
        <v/>
      </c>
      <c r="R204" s="125"/>
      <c r="S204" s="125"/>
      <c r="T204" s="126" t="str">
        <f t="shared" si="153"/>
        <v/>
      </c>
      <c r="U204" s="125"/>
      <c r="V204" s="125"/>
      <c r="W204" s="125"/>
      <c r="X204" s="127" t="str">
        <f t="shared" si="159"/>
        <v/>
      </c>
      <c r="Y204" s="128" t="str">
        <f t="shared" si="154"/>
        <v/>
      </c>
      <c r="Z204" s="129" t="str">
        <f t="shared" si="155"/>
        <v/>
      </c>
      <c r="AA204" s="128" t="str">
        <f t="shared" si="156"/>
        <v/>
      </c>
      <c r="AB204" s="137" t="str">
        <f t="shared" si="160"/>
        <v/>
      </c>
      <c r="AC204" s="130" t="str">
        <f t="shared" si="157"/>
        <v/>
      </c>
      <c r="AD204" s="131"/>
      <c r="AE204" s="132"/>
      <c r="AF204" s="133"/>
      <c r="AG204" s="134"/>
      <c r="AH204" s="134"/>
      <c r="AI204" s="132"/>
      <c r="AJ204" s="133"/>
    </row>
    <row r="205" spans="1:36" hidden="1" x14ac:dyDescent="0.3">
      <c r="A205" s="211"/>
      <c r="B205" s="225"/>
      <c r="C205" s="225"/>
      <c r="D205" s="225"/>
      <c r="E205" s="228"/>
      <c r="F205" s="225"/>
      <c r="G205" s="255"/>
      <c r="H205" s="243"/>
      <c r="I205" s="234"/>
      <c r="J205" s="237"/>
      <c r="K205" s="240">
        <f ca="1">IF(NOT(ISERROR(MATCH(J205,_xlfn.ANCHORARRAY(E216),0))),I218&amp;"Por favor no seleccionar los criterios de impacto",J205)</f>
        <v>0</v>
      </c>
      <c r="L205" s="243"/>
      <c r="M205" s="234"/>
      <c r="N205" s="231"/>
      <c r="O205" s="138">
        <v>6</v>
      </c>
      <c r="P205" s="123"/>
      <c r="Q205" s="124" t="str">
        <f t="shared" si="158"/>
        <v/>
      </c>
      <c r="R205" s="125"/>
      <c r="S205" s="125"/>
      <c r="T205" s="126" t="str">
        <f t="shared" si="153"/>
        <v/>
      </c>
      <c r="U205" s="125"/>
      <c r="V205" s="125"/>
      <c r="W205" s="125"/>
      <c r="X205" s="127" t="str">
        <f t="shared" si="159"/>
        <v/>
      </c>
      <c r="Y205" s="128" t="str">
        <f t="shared" si="154"/>
        <v/>
      </c>
      <c r="Z205" s="129" t="str">
        <f t="shared" si="155"/>
        <v/>
      </c>
      <c r="AA205" s="128" t="str">
        <f t="shared" si="156"/>
        <v/>
      </c>
      <c r="AB205" s="137" t="str">
        <f t="shared" si="160"/>
        <v/>
      </c>
      <c r="AC205" s="130" t="str">
        <f t="shared" si="157"/>
        <v/>
      </c>
      <c r="AD205" s="131"/>
      <c r="AE205" s="132"/>
      <c r="AF205" s="133"/>
      <c r="AG205" s="134"/>
      <c r="AH205" s="134"/>
      <c r="AI205" s="132"/>
      <c r="AJ205" s="133"/>
    </row>
    <row r="206" spans="1:36" ht="75" x14ac:dyDescent="0.3">
      <c r="A206" s="210">
        <v>2</v>
      </c>
      <c r="B206" s="223" t="s">
        <v>133</v>
      </c>
      <c r="C206" s="223" t="s">
        <v>297</v>
      </c>
      <c r="D206" s="223" t="s">
        <v>298</v>
      </c>
      <c r="E206" s="226" t="s">
        <v>299</v>
      </c>
      <c r="F206" s="223" t="s">
        <v>123</v>
      </c>
      <c r="G206" s="253">
        <v>6</v>
      </c>
      <c r="H206" s="241" t="str">
        <f>IF(G206&lt;=0,"",IF(G206&lt;=2,"Muy Baja",IF(G206&lt;=24,"Baja",IF(G206&lt;=500,"Media",IF(G206&lt;=5000,"Alta","Muy Alta")))))</f>
        <v>Baja</v>
      </c>
      <c r="I206" s="232">
        <f>IF(H206="","",IF(H206="Muy Baja",0.2,IF(H206="Baja",0.4,IF(H206="Media",0.6,IF(H206="Alta",0.8,IF(H206="Muy Alta",1,))))))</f>
        <v>0.4</v>
      </c>
      <c r="J206" s="235" t="s">
        <v>148</v>
      </c>
      <c r="K206" s="238" t="str">
        <f>IF(NOT(ISERROR(MATCH(J206,'[7]Tabla Impacto'!$B$221:$B$223,0))),'[7]Tabla Impacto'!$F$223&amp;"Por favor no seleccionar los criterios de impacto(Afectación Económica o presupuestal y Pérdida Reputacional)",J206)</f>
        <v xml:space="preserve">     Entre 100 y 500 SMLMV </v>
      </c>
      <c r="L206" s="241" t="str">
        <f>IF(OR(K206='[7]Tabla Impacto'!$C$11,K206='[7]Tabla Impacto'!$D$11),"Leve",IF(OR(K206='[7]Tabla Impacto'!$C$12,K206='[7]Tabla Impacto'!$D$12),"Menor",IF(OR(K206='[7]Tabla Impacto'!$C$13,K206='[7]Tabla Impacto'!$D$13),"Moderado",IF(OR(K206='[7]Tabla Impacto'!$C$14,K206='[7]Tabla Impacto'!$D$14),"Mayor",IF(OR(K206='[7]Tabla Impacto'!$C$15,K206='[7]Tabla Impacto'!$D$15),"Catastrófico","")))))</f>
        <v>Mayor</v>
      </c>
      <c r="M206" s="232">
        <f>IF(L206="","",IF(L206="Leve",0.2,IF(L206="Menor",0.4,IF(L206="Moderado",0.6,IF(L206="Mayor",0.8,IF(L206="Catastrófico",1,))))))</f>
        <v>0.8</v>
      </c>
      <c r="N206" s="229" t="str">
        <f>IF(OR(AND(H206="Muy Baja",L206="Leve"),AND(H206="Muy Baja",L206="Menor"),AND(H206="Baja",L206="Leve")),"Bajo",IF(OR(AND(H206="Muy baja",L206="Moderado"),AND(H206="Baja",L206="Menor"),AND(H206="Baja",L206="Moderado"),AND(H206="Media",L206="Leve"),AND(H206="Media",L206="Menor"),AND(H206="Media",L206="Moderado"),AND(H206="Alta",L206="Leve"),AND(H206="Alta",L206="Menor")),"Moderado",IF(OR(AND(H206="Muy Baja",L206="Mayor"),AND(H206="Baja",L206="Mayor"),AND(H206="Media",L206="Mayor"),AND(H206="Alta",L206="Moderado"),AND(H206="Alta",L206="Mayor"),AND(H206="Muy Alta",L206="Leve"),AND(H206="Muy Alta",L206="Menor"),AND(H206="Muy Alta",L206="Moderado"),AND(H206="Muy Alta",L206="Mayor")),"Alto",IF(OR(AND(H206="Muy Baja",L206="Catastrófico"),AND(H206="Baja",L206="Catastrófico"),AND(H206="Media",L206="Catastrófico"),AND(H206="Alta",L206="Catastrófico"),AND(H206="Muy Alta",L206="Catastrófico")),"Extremo",""))))</f>
        <v>Alto</v>
      </c>
      <c r="O206" s="138">
        <v>1</v>
      </c>
      <c r="P206" s="147" t="s">
        <v>300</v>
      </c>
      <c r="Q206" s="145" t="str">
        <f>IF(OR(R206="Preventivo",R206="Detectivo"),"Probabilidad",IF(R206="Correctivo","Impacto",""))</f>
        <v>Probabilidad</v>
      </c>
      <c r="R206" s="148" t="s">
        <v>15</v>
      </c>
      <c r="S206" s="148" t="s">
        <v>9</v>
      </c>
      <c r="T206" s="149" t="str">
        <f>IF(AND(R206="Preventivo",S206="Automático"),"50%",IF(AND(R206="Preventivo",S206="Manual"),"40%",IF(AND(R206="Detectivo",S206="Automático"),"40%",IF(AND(R206="Detectivo",S206="Manual"),"30%",IF(AND(R206="Correctivo",S206="Automático"),"35%",IF(AND(R206="Correctivo",S206="Manual"),"25%",""))))))</f>
        <v>30%</v>
      </c>
      <c r="U206" s="148" t="s">
        <v>19</v>
      </c>
      <c r="V206" s="148" t="s">
        <v>22</v>
      </c>
      <c r="W206" s="148" t="s">
        <v>119</v>
      </c>
      <c r="X206" s="139">
        <f>IFERROR(IF(Q206="Probabilidad",(I206-(+I206*T206)),IF(Q206="Impacto",I206,"")),"")</f>
        <v>0.28000000000000003</v>
      </c>
      <c r="Y206" s="150" t="str">
        <f>IFERROR(IF(X206="","",IF(X206&lt;=0.2,"Muy Baja",IF(X206&lt;=0.4,"Baja",IF(X206&lt;=0.6,"Media",IF(X206&lt;=0.8,"Alta","Muy Alta"))))),"")</f>
        <v>Baja</v>
      </c>
      <c r="Z206" s="149">
        <f>+X206</f>
        <v>0.28000000000000003</v>
      </c>
      <c r="AA206" s="150" t="str">
        <f>IFERROR(IF(AB206="","",IF(AB206&lt;=0.2,"Leve",IF(AB206&lt;=0.4,"Menor",IF(AB206&lt;=0.6,"Moderado",IF(AB206&lt;=0.8,"Mayor","Catastrófico"))))),"")</f>
        <v>Mayor</v>
      </c>
      <c r="AB206" s="151">
        <f>IFERROR(IF(Q206="Impacto",(M206-(+M206*T206)),IF(Q206="Probabilidad",M206,"")),"")</f>
        <v>0.8</v>
      </c>
      <c r="AC206" s="144" t="str">
        <f>IFERROR(IF(OR(AND(Y206="Muy Baja",AA206="Leve"),AND(Y206="Muy Baja",AA206="Menor"),AND(Y206="Baja",AA206="Leve")),"Bajo",IF(OR(AND(Y206="Muy baja",AA206="Moderado"),AND(Y206="Baja",AA206="Menor"),AND(Y206="Baja",AA206="Moderado"),AND(Y206="Media",AA206="Leve"),AND(Y206="Media",AA206="Menor"),AND(Y206="Media",AA206="Moderado"),AND(Y206="Alta",AA206="Leve"),AND(Y206="Alta",AA206="Menor")),"Moderado",IF(OR(AND(Y206="Muy Baja",AA206="Mayor"),AND(Y206="Baja",AA206="Mayor"),AND(Y206="Media",AA206="Mayor"),AND(Y206="Alta",AA206="Moderado"),AND(Y206="Alta",AA206="Mayor"),AND(Y206="Muy Alta",AA206="Leve"),AND(Y206="Muy Alta",AA206="Menor"),AND(Y206="Muy Alta",AA206="Moderado"),AND(Y206="Muy Alta",AA206="Mayor")),"Alto",IF(OR(AND(Y206="Muy Baja",AA206="Catastrófico"),AND(Y206="Baja",AA206="Catastrófico"),AND(Y206="Media",AA206="Catastrófico"),AND(Y206="Alta",AA206="Catastrófico"),AND(Y206="Muy Alta",AA206="Catastrófico")),"Extremo","")))),"")</f>
        <v>Alto</v>
      </c>
      <c r="AD206" s="140" t="s">
        <v>135</v>
      </c>
      <c r="AE206" s="212"/>
      <c r="AF206" s="214"/>
      <c r="AG206" s="216"/>
      <c r="AH206" s="216"/>
      <c r="AI206" s="212"/>
      <c r="AJ206" s="214"/>
    </row>
    <row r="207" spans="1:36" ht="75" x14ac:dyDescent="0.3">
      <c r="A207" s="222"/>
      <c r="B207" s="224"/>
      <c r="C207" s="224"/>
      <c r="D207" s="224"/>
      <c r="E207" s="227"/>
      <c r="F207" s="224"/>
      <c r="G207" s="254"/>
      <c r="H207" s="242"/>
      <c r="I207" s="233"/>
      <c r="J207" s="236"/>
      <c r="K207" s="239">
        <f ca="1">IF(NOT(ISERROR(MATCH(J207,_xlfn.ANCHORARRAY(E218),0))),I220&amp;"Por favor no seleccionar los criterios de impacto",J207)</f>
        <v>0</v>
      </c>
      <c r="L207" s="242"/>
      <c r="M207" s="233"/>
      <c r="N207" s="230"/>
      <c r="O207" s="138">
        <v>2</v>
      </c>
      <c r="P207" s="152" t="s">
        <v>301</v>
      </c>
      <c r="Q207" s="145" t="str">
        <f>IF(OR(R207="Preventivo",R207="Detectivo"),"Probabilidad",IF(R207="Correctivo","Impacto",""))</f>
        <v>Probabilidad</v>
      </c>
      <c r="R207" s="148" t="s">
        <v>14</v>
      </c>
      <c r="S207" s="148" t="s">
        <v>9</v>
      </c>
      <c r="T207" s="149" t="str">
        <f>IF(AND(R207="Preventivo",S207="Automático"),"50%",IF(AND(R207="Preventivo",S207="Manual"),"40%",IF(AND(R207="Detectivo",S207="Automático"),"40%",IF(AND(R207="Detectivo",S207="Manual"),"30%",IF(AND(R207="Correctivo",S207="Automático"),"35%",IF(AND(R207="Correctivo",S207="Manual"),"25%",""))))))</f>
        <v>40%</v>
      </c>
      <c r="U207" s="148" t="s">
        <v>19</v>
      </c>
      <c r="V207" s="148" t="s">
        <v>22</v>
      </c>
      <c r="W207" s="148" t="s">
        <v>119</v>
      </c>
      <c r="X207" s="139">
        <f>IFERROR(IF(Q207="Probabilidad",(I206-(+I206*T207)),IF(Q206="Impacto",I206,"")),"")</f>
        <v>0.24</v>
      </c>
      <c r="Y207" s="150" t="str">
        <f>IFERROR(IF(X207="","",IF(X207&lt;=0.2,"Muy Baja",IF(X207&lt;=0.4,"Baja",IF(X207&lt;=0.6,"Media",IF(X207&lt;=0.8,"Alta","Muy Alta"))))),"")</f>
        <v>Baja</v>
      </c>
      <c r="Z207" s="149">
        <f>+X207</f>
        <v>0.24</v>
      </c>
      <c r="AA207" s="150" t="str">
        <f>IFERROR(IF(AB207="","",IF(AB207&lt;=0.2,"Leve",IF(AB207&lt;=0.4,"Menor",IF(AB207&lt;=0.6,"Moderado",IF(AB207&lt;=0.8,"Mayor","Catastrófico"))))),"")</f>
        <v>Mayor</v>
      </c>
      <c r="AB207" s="151">
        <f>IFERROR(IF(Q207="Impacto",(M207-(+M207*T207)),IF(Q207="Probabilidad",M206,"")),"")</f>
        <v>0.8</v>
      </c>
      <c r="AC207" s="144" t="str">
        <f>IFERROR(IF(OR(AND(Y207="Muy Baja",AA207="Leve"),AND(Y207="Muy Baja",AA207="Menor"),AND(Y207="Baja",AA207="Leve")),"Bajo",IF(OR(AND(Y207="Muy baja",AA207="Moderado"),AND(Y207="Baja",AA207="Menor"),AND(Y207="Baja",AA207="Moderado"),AND(Y207="Media",AA207="Leve"),AND(Y207="Media",AA207="Menor"),AND(Y207="Media",AA207="Moderado"),AND(Y207="Alta",AA207="Leve"),AND(Y207="Alta",AA207="Menor")),"Moderado",IF(OR(AND(Y207="Muy Baja",AA207="Mayor"),AND(Y207="Baja",AA207="Mayor"),AND(Y207="Media",AA207="Mayor"),AND(Y207="Alta",AA207="Moderado"),AND(Y207="Alta",AA207="Mayor"),AND(Y207="Muy Alta",AA207="Leve"),AND(Y207="Muy Alta",AA207="Menor"),AND(Y207="Muy Alta",AA207="Moderado"),AND(Y207="Muy Alta",AA207="Mayor")),"Alto",IF(OR(AND(Y207="Muy Baja",AA207="Catastrófico"),AND(Y207="Baja",AA207="Catastrófico"),AND(Y207="Media",AA207="Catastrófico"),AND(Y207="Alta",AA207="Catastrófico"),AND(Y207="Muy Alta",AA207="Catastrófico")),"Extremo","")))),"")</f>
        <v>Alto</v>
      </c>
      <c r="AD207" s="140" t="s">
        <v>135</v>
      </c>
      <c r="AE207" s="213"/>
      <c r="AF207" s="215"/>
      <c r="AG207" s="217"/>
      <c r="AH207" s="217"/>
      <c r="AI207" s="213"/>
      <c r="AJ207" s="215"/>
    </row>
    <row r="208" spans="1:36" hidden="1" x14ac:dyDescent="0.3">
      <c r="A208" s="222"/>
      <c r="B208" s="224"/>
      <c r="C208" s="224"/>
      <c r="D208" s="224"/>
      <c r="E208" s="227"/>
      <c r="F208" s="224"/>
      <c r="G208" s="254"/>
      <c r="H208" s="242"/>
      <c r="I208" s="233"/>
      <c r="J208" s="236"/>
      <c r="K208" s="239">
        <f ca="1">IF(NOT(ISERROR(MATCH(J208,_xlfn.ANCHORARRAY(E219),0))),I221&amp;"Por favor no seleccionar los criterios de impacto",J208)</f>
        <v>0</v>
      </c>
      <c r="L208" s="242"/>
      <c r="M208" s="233"/>
      <c r="N208" s="230"/>
      <c r="O208" s="138">
        <v>3</v>
      </c>
      <c r="P208" s="135"/>
      <c r="Q208" s="124" t="str">
        <f>IF(OR(R208="Preventivo",R208="Detectivo"),"Probabilidad",IF(R208="Correctivo","Impacto",""))</f>
        <v/>
      </c>
      <c r="R208" s="125"/>
      <c r="S208" s="125"/>
      <c r="T208" s="126" t="str">
        <f t="shared" ref="T208:T211" si="161">IF(AND(R208="Preventivo",S208="Automático"),"50%",IF(AND(R208="Preventivo",S208="Manual"),"40%",IF(AND(R208="Detectivo",S208="Automático"),"40%",IF(AND(R208="Detectivo",S208="Manual"),"30%",IF(AND(R208="Correctivo",S208="Automático"),"35%",IF(AND(R208="Correctivo",S208="Manual"),"25%",""))))))</f>
        <v/>
      </c>
      <c r="U208" s="125"/>
      <c r="V208" s="125"/>
      <c r="W208" s="125"/>
      <c r="X208" s="127" t="str">
        <f>IFERROR(IF(AND(Q207="Probabilidad",Q208="Probabilidad"),(Z207-(+Z207*T208)),IF(AND(Q207="Impacto",Q208="Probabilidad"),(Z206-(+Z206*T208)),IF(Q208="Impacto",Z207,""))),"")</f>
        <v/>
      </c>
      <c r="Y208" s="128" t="str">
        <f t="shared" si="154"/>
        <v/>
      </c>
      <c r="Z208" s="129" t="str">
        <f t="shared" ref="Z208:Z211" si="162">+X208</f>
        <v/>
      </c>
      <c r="AA208" s="128" t="str">
        <f t="shared" si="156"/>
        <v/>
      </c>
      <c r="AB208" s="137" t="str">
        <f>IFERROR(IF(AND(Q207="Impacto",Q208="Impacto"),(AB207-(+AB207*T208)),IF(AND(Q207="Probabilidad",Q208="Impacto"),(AB206-(+AB206*T208)),IF(Q208="Probabilidad",AB207,""))),"")</f>
        <v/>
      </c>
      <c r="AC208" s="130" t="str">
        <f t="shared" ref="AC208" si="163">IFERROR(IF(OR(AND(Y208="Muy Baja",AA208="Leve"),AND(Y208="Muy Baja",AA208="Menor"),AND(Y208="Baja",AA208="Leve")),"Bajo",IF(OR(AND(Y208="Muy baja",AA208="Moderado"),AND(Y208="Baja",AA208="Menor"),AND(Y208="Baja",AA208="Moderado"),AND(Y208="Media",AA208="Leve"),AND(Y208="Media",AA208="Menor"),AND(Y208="Media",AA208="Moderado"),AND(Y208="Alta",AA208="Leve"),AND(Y208="Alta",AA208="Menor")),"Moderado",IF(OR(AND(Y208="Muy Baja",AA208="Mayor"),AND(Y208="Baja",AA208="Mayor"),AND(Y208="Media",AA208="Mayor"),AND(Y208="Alta",AA208="Moderado"),AND(Y208="Alta",AA208="Mayor"),AND(Y208="Muy Alta",AA208="Leve"),AND(Y208="Muy Alta",AA208="Menor"),AND(Y208="Muy Alta",AA208="Moderado"),AND(Y208="Muy Alta",AA208="Mayor")),"Alto",IF(OR(AND(Y208="Muy Baja",AA208="Catastrófico"),AND(Y208="Baja",AA208="Catastrófico"),AND(Y208="Media",AA208="Catastrófico"),AND(Y208="Alta",AA208="Catastrófico"),AND(Y208="Muy Alta",AA208="Catastrófico")),"Extremo","")))),"")</f>
        <v/>
      </c>
      <c r="AD208" s="131"/>
      <c r="AE208" s="132"/>
      <c r="AF208" s="133"/>
      <c r="AG208" s="134"/>
      <c r="AH208" s="134"/>
      <c r="AI208" s="132"/>
      <c r="AJ208" s="133"/>
    </row>
    <row r="209" spans="1:36" hidden="1" x14ac:dyDescent="0.3">
      <c r="A209" s="222"/>
      <c r="B209" s="224"/>
      <c r="C209" s="224"/>
      <c r="D209" s="224"/>
      <c r="E209" s="227"/>
      <c r="F209" s="224"/>
      <c r="G209" s="254"/>
      <c r="H209" s="242"/>
      <c r="I209" s="233"/>
      <c r="J209" s="236"/>
      <c r="K209" s="239">
        <f ca="1">IF(NOT(ISERROR(MATCH(J209,_xlfn.ANCHORARRAY(E220),0))),I222&amp;"Por favor no seleccionar los criterios de impacto",J209)</f>
        <v>0</v>
      </c>
      <c r="L209" s="242"/>
      <c r="M209" s="233"/>
      <c r="N209" s="230"/>
      <c r="O209" s="138">
        <v>4</v>
      </c>
      <c r="P209" s="123"/>
      <c r="Q209" s="124" t="str">
        <f t="shared" ref="Q209:Q211" si="164">IF(OR(R209="Preventivo",R209="Detectivo"),"Probabilidad",IF(R209="Correctivo","Impacto",""))</f>
        <v/>
      </c>
      <c r="R209" s="125"/>
      <c r="S209" s="125"/>
      <c r="T209" s="126" t="str">
        <f t="shared" si="161"/>
        <v/>
      </c>
      <c r="U209" s="125"/>
      <c r="V209" s="125"/>
      <c r="W209" s="125"/>
      <c r="X209" s="127" t="str">
        <f t="shared" ref="X209:X211" si="165">IFERROR(IF(AND(Q208="Probabilidad",Q209="Probabilidad"),(Z208-(+Z208*T209)),IF(AND(Q208="Impacto",Q209="Probabilidad"),(Z207-(+Z207*T209)),IF(Q209="Impacto",Z208,""))),"")</f>
        <v/>
      </c>
      <c r="Y209" s="128" t="str">
        <f t="shared" si="154"/>
        <v/>
      </c>
      <c r="Z209" s="129" t="str">
        <f t="shared" si="162"/>
        <v/>
      </c>
      <c r="AA209" s="128" t="str">
        <f t="shared" si="156"/>
        <v/>
      </c>
      <c r="AB209" s="137" t="str">
        <f t="shared" ref="AB209:AB211" si="166">IFERROR(IF(AND(Q208="Impacto",Q209="Impacto"),(AB208-(+AB208*T209)),IF(AND(Q208="Probabilidad",Q209="Impacto"),(AB207-(+AB207*T209)),IF(Q209="Probabilidad",AB208,""))),"")</f>
        <v/>
      </c>
      <c r="AC209" s="130" t="str">
        <f>IFERROR(IF(OR(AND(Y209="Muy Baja",AA209="Leve"),AND(Y209="Muy Baja",AA209="Menor"),AND(Y209="Baja",AA209="Leve")),"Bajo",IF(OR(AND(Y209="Muy baja",AA209="Moderado"),AND(Y209="Baja",AA209="Menor"),AND(Y209="Baja",AA209="Moderado"),AND(Y209="Media",AA209="Leve"),AND(Y209="Media",AA209="Menor"),AND(Y209="Media",AA209="Moderado"),AND(Y209="Alta",AA209="Leve"),AND(Y209="Alta",AA209="Menor")),"Moderado",IF(OR(AND(Y209="Muy Baja",AA209="Mayor"),AND(Y209="Baja",AA209="Mayor"),AND(Y209="Media",AA209="Mayor"),AND(Y209="Alta",AA209="Moderado"),AND(Y209="Alta",AA209="Mayor"),AND(Y209="Muy Alta",AA209="Leve"),AND(Y209="Muy Alta",AA209="Menor"),AND(Y209="Muy Alta",AA209="Moderado"),AND(Y209="Muy Alta",AA209="Mayor")),"Alto",IF(OR(AND(Y209="Muy Baja",AA209="Catastrófico"),AND(Y209="Baja",AA209="Catastrófico"),AND(Y209="Media",AA209="Catastrófico"),AND(Y209="Alta",AA209="Catastrófico"),AND(Y209="Muy Alta",AA209="Catastrófico")),"Extremo","")))),"")</f>
        <v/>
      </c>
      <c r="AD209" s="131"/>
      <c r="AE209" s="132"/>
      <c r="AF209" s="133"/>
      <c r="AG209" s="134"/>
      <c r="AH209" s="134"/>
      <c r="AI209" s="132"/>
      <c r="AJ209" s="133"/>
    </row>
    <row r="210" spans="1:36" hidden="1" x14ac:dyDescent="0.3">
      <c r="A210" s="222"/>
      <c r="B210" s="224"/>
      <c r="C210" s="224"/>
      <c r="D210" s="224"/>
      <c r="E210" s="227"/>
      <c r="F210" s="224"/>
      <c r="G210" s="254"/>
      <c r="H210" s="242"/>
      <c r="I210" s="233"/>
      <c r="J210" s="236"/>
      <c r="K210" s="239">
        <f ca="1">IF(NOT(ISERROR(MATCH(J210,_xlfn.ANCHORARRAY(E221),0))),I223&amp;"Por favor no seleccionar los criterios de impacto",J210)</f>
        <v>0</v>
      </c>
      <c r="L210" s="242"/>
      <c r="M210" s="233"/>
      <c r="N210" s="230"/>
      <c r="O210" s="138">
        <v>5</v>
      </c>
      <c r="P210" s="123"/>
      <c r="Q210" s="124" t="str">
        <f t="shared" si="164"/>
        <v/>
      </c>
      <c r="R210" s="125"/>
      <c r="S210" s="125"/>
      <c r="T210" s="126" t="str">
        <f t="shared" si="161"/>
        <v/>
      </c>
      <c r="U210" s="125"/>
      <c r="V210" s="125"/>
      <c r="W210" s="125"/>
      <c r="X210" s="127" t="str">
        <f t="shared" si="165"/>
        <v/>
      </c>
      <c r="Y210" s="128" t="str">
        <f t="shared" si="154"/>
        <v/>
      </c>
      <c r="Z210" s="129" t="str">
        <f t="shared" si="162"/>
        <v/>
      </c>
      <c r="AA210" s="128" t="str">
        <f t="shared" si="156"/>
        <v/>
      </c>
      <c r="AB210" s="137" t="str">
        <f t="shared" si="166"/>
        <v/>
      </c>
      <c r="AC210" s="130" t="str">
        <f t="shared" ref="AC210:AC211" si="167">IFERROR(IF(OR(AND(Y210="Muy Baja",AA210="Leve"),AND(Y210="Muy Baja",AA210="Menor"),AND(Y210="Baja",AA210="Leve")),"Bajo",IF(OR(AND(Y210="Muy baja",AA210="Moderado"),AND(Y210="Baja",AA210="Menor"),AND(Y210="Baja",AA210="Moderado"),AND(Y210="Media",AA210="Leve"),AND(Y210="Media",AA210="Menor"),AND(Y210="Media",AA210="Moderado"),AND(Y210="Alta",AA210="Leve"),AND(Y210="Alta",AA210="Menor")),"Moderado",IF(OR(AND(Y210="Muy Baja",AA210="Mayor"),AND(Y210="Baja",AA210="Mayor"),AND(Y210="Media",AA210="Mayor"),AND(Y210="Alta",AA210="Moderado"),AND(Y210="Alta",AA210="Mayor"),AND(Y210="Muy Alta",AA210="Leve"),AND(Y210="Muy Alta",AA210="Menor"),AND(Y210="Muy Alta",AA210="Moderado"),AND(Y210="Muy Alta",AA210="Mayor")),"Alto",IF(OR(AND(Y210="Muy Baja",AA210="Catastrófico"),AND(Y210="Baja",AA210="Catastrófico"),AND(Y210="Media",AA210="Catastrófico"),AND(Y210="Alta",AA210="Catastrófico"),AND(Y210="Muy Alta",AA210="Catastrófico")),"Extremo","")))),"")</f>
        <v/>
      </c>
      <c r="AD210" s="131"/>
      <c r="AE210" s="132"/>
      <c r="AF210" s="133"/>
      <c r="AG210" s="134"/>
      <c r="AH210" s="134"/>
      <c r="AI210" s="132"/>
      <c r="AJ210" s="133"/>
    </row>
    <row r="211" spans="1:36" hidden="1" x14ac:dyDescent="0.3">
      <c r="A211" s="211"/>
      <c r="B211" s="225"/>
      <c r="C211" s="225"/>
      <c r="D211" s="225"/>
      <c r="E211" s="228"/>
      <c r="F211" s="225"/>
      <c r="G211" s="255"/>
      <c r="H211" s="243"/>
      <c r="I211" s="234"/>
      <c r="J211" s="237"/>
      <c r="K211" s="240">
        <f ca="1">IF(NOT(ISERROR(MATCH(J211,_xlfn.ANCHORARRAY(E222),0))),I224&amp;"Por favor no seleccionar los criterios de impacto",J211)</f>
        <v>0</v>
      </c>
      <c r="L211" s="243"/>
      <c r="M211" s="234"/>
      <c r="N211" s="231"/>
      <c r="O211" s="138">
        <v>6</v>
      </c>
      <c r="P211" s="123"/>
      <c r="Q211" s="124" t="str">
        <f t="shared" si="164"/>
        <v/>
      </c>
      <c r="R211" s="125"/>
      <c r="S211" s="125"/>
      <c r="T211" s="126" t="str">
        <f t="shared" si="161"/>
        <v/>
      </c>
      <c r="U211" s="125"/>
      <c r="V211" s="125"/>
      <c r="W211" s="125"/>
      <c r="X211" s="127" t="str">
        <f t="shared" si="165"/>
        <v/>
      </c>
      <c r="Y211" s="128" t="str">
        <f t="shared" si="154"/>
        <v/>
      </c>
      <c r="Z211" s="129" t="str">
        <f t="shared" si="162"/>
        <v/>
      </c>
      <c r="AA211" s="128" t="str">
        <f t="shared" si="156"/>
        <v/>
      </c>
      <c r="AB211" s="137" t="str">
        <f t="shared" si="166"/>
        <v/>
      </c>
      <c r="AC211" s="130" t="str">
        <f t="shared" si="167"/>
        <v/>
      </c>
      <c r="AD211" s="131"/>
      <c r="AE211" s="132"/>
      <c r="AF211" s="133"/>
      <c r="AG211" s="134"/>
      <c r="AH211" s="134"/>
      <c r="AI211" s="132"/>
      <c r="AJ211" s="133"/>
    </row>
    <row r="212" spans="1:36" x14ac:dyDescent="0.3">
      <c r="A212" s="210">
        <v>3</v>
      </c>
      <c r="B212" s="223" t="s">
        <v>132</v>
      </c>
      <c r="C212" s="223" t="s">
        <v>302</v>
      </c>
      <c r="D212" s="223" t="s">
        <v>303</v>
      </c>
      <c r="E212" s="226" t="s">
        <v>304</v>
      </c>
      <c r="F212" s="223" t="s">
        <v>123</v>
      </c>
      <c r="G212" s="253">
        <v>1502</v>
      </c>
      <c r="H212" s="241" t="str">
        <f>IF(G212&lt;=0,"",IF(G212&lt;=2,"Muy Baja",IF(G212&lt;=24,"Baja",IF(G212&lt;=500,"Media",IF(G212&lt;=5000,"Alta","Muy Alta")))))</f>
        <v>Alta</v>
      </c>
      <c r="I212" s="232">
        <f>IF(H212="","",IF(H212="Muy Baja",0.2,IF(H212="Baja",0.4,IF(H212="Media",0.6,IF(H212="Alta",0.8,IF(H212="Muy Alta",1,))))))</f>
        <v>0.8</v>
      </c>
      <c r="J212" s="235" t="s">
        <v>151</v>
      </c>
      <c r="K212" s="238" t="str">
        <f>IF(NOT(ISERROR(MATCH(J212,'[7]Tabla Impacto'!$B$221:$B$223,0))),'[7]Tabla Impacto'!$F$223&amp;"Por favor no seleccionar los criterios de impacto(Afectación Económica o presupuestal y Pérdida Reputacional)",J212)</f>
        <v xml:space="preserve">     El riesgo afecta la imagen de la entidad internamente, de conocimiento general, nivel interno, de junta dircetiva y accionistas y/o de provedores</v>
      </c>
      <c r="L212" s="241" t="str">
        <f>IF(OR(K212='[7]Tabla Impacto'!$C$11,K212='[7]Tabla Impacto'!$D$11),"Leve",IF(OR(K212='[7]Tabla Impacto'!$C$12,K212='[7]Tabla Impacto'!$D$12),"Menor",IF(OR(K212='[7]Tabla Impacto'!$C$13,K212='[7]Tabla Impacto'!$D$13),"Moderado",IF(OR(K212='[7]Tabla Impacto'!$C$14,K212='[7]Tabla Impacto'!$D$14),"Mayor",IF(OR(K212='[7]Tabla Impacto'!$C$15,K212='[7]Tabla Impacto'!$D$15),"Catastrófico","")))))</f>
        <v>Menor</v>
      </c>
      <c r="M212" s="232">
        <f>IF(L212="","",IF(L212="Leve",0.2,IF(L212="Menor",0.4,IF(L212="Moderado",0.6,IF(L212="Mayor",0.8,IF(L212="Catastrófico",1,))))))</f>
        <v>0.4</v>
      </c>
      <c r="N212" s="229" t="str">
        <f>IF(OR(AND(H212="Muy Baja",L212="Leve"),AND(H212="Muy Baja",L212="Menor"),AND(H212="Baja",L212="Leve")),"Bajo",IF(OR(AND(H212="Muy baja",L212="Moderado"),AND(H212="Baja",L212="Menor"),AND(H212="Baja",L212="Moderado"),AND(H212="Media",L212="Leve"),AND(H212="Media",L212="Menor"),AND(H212="Media",L212="Moderado"),AND(H212="Alta",L212="Leve"),AND(H212="Alta",L212="Menor")),"Moderado",IF(OR(AND(H212="Muy Baja",L212="Mayor"),AND(H212="Baja",L212="Mayor"),AND(H212="Media",L212="Mayor"),AND(H212="Alta",L212="Moderado"),AND(H212="Alta",L212="Mayor"),AND(H212="Muy Alta",L212="Leve"),AND(H212="Muy Alta",L212="Menor"),AND(H212="Muy Alta",L212="Moderado"),AND(H212="Muy Alta",L212="Mayor")),"Alto",IF(OR(AND(H212="Muy Baja",L212="Catastrófico"),AND(H212="Baja",L212="Catastrófico"),AND(H212="Media",L212="Catastrófico"),AND(H212="Alta",L212="Catastrófico"),AND(H212="Muy Alta",L212="Catastrófico")),"Extremo",""))))</f>
        <v>Moderado</v>
      </c>
      <c r="O212" s="138">
        <v>1</v>
      </c>
      <c r="P212" s="347" t="s">
        <v>305</v>
      </c>
      <c r="Q212" s="220" t="str">
        <f>IF(OR(R212="Preventivo",R212="Detectivo"),"Probabilidad",IF(R212="Correctivo","Impacto",""))</f>
        <v>Probabilidad</v>
      </c>
      <c r="R212" s="202" t="s">
        <v>14</v>
      </c>
      <c r="S212" s="202" t="s">
        <v>9</v>
      </c>
      <c r="T212" s="200" t="str">
        <f>IF(AND(R212="Preventivo",S212="Automático"),"50%",IF(AND(R212="Preventivo",S212="Manual"),"40%",IF(AND(R212="Detectivo",S212="Automático"),"40%",IF(AND(R212="Detectivo",S212="Manual"),"30%",IF(AND(R212="Correctivo",S212="Automático"),"35%",IF(AND(R212="Correctivo",S212="Manual"),"25%",""))))))</f>
        <v>40%</v>
      </c>
      <c r="U212" s="202" t="s">
        <v>19</v>
      </c>
      <c r="V212" s="202" t="s">
        <v>22</v>
      </c>
      <c r="W212" s="202" t="s">
        <v>119</v>
      </c>
      <c r="X212" s="313">
        <f>IFERROR(IF(Q212="Probabilidad",(I212-(+I212*T212)),IF(Q212="Impacto",I212,"")),"")</f>
        <v>0.48</v>
      </c>
      <c r="Y212" s="204" t="str">
        <f>IFERROR(IF(X212="","",IF(X212&lt;=0.2,"Muy Baja",IF(X212&lt;=0.4,"Baja",IF(X212&lt;=0.6,"Media",IF(X212&lt;=0.8,"Alta","Muy Alta"))))),"")</f>
        <v>Media</v>
      </c>
      <c r="Z212" s="200">
        <f>+X212</f>
        <v>0.48</v>
      </c>
      <c r="AA212" s="204" t="str">
        <f>IFERROR(IF(AB212="","",IF(AB212&lt;=0.2,"Leve",IF(AB212&lt;=0.4,"Menor",IF(AB212&lt;=0.6,"Moderado",IF(AB212&lt;=0.8,"Mayor","Catastrófico"))))),"")</f>
        <v>Menor</v>
      </c>
      <c r="AB212" s="206">
        <f>IFERROR(IF(Q212="Impacto",(M212-(+M212*T212)),IF(Q212="Probabilidad",M212,"")),"")</f>
        <v>0.4</v>
      </c>
      <c r="AC212" s="208" t="str">
        <f>IFERROR(IF(OR(AND(Y212="Muy Baja",AA212="Leve"),AND(Y212="Muy Baja",AA212="Menor"),AND(Y212="Baja",AA212="Leve")),"Bajo",IF(OR(AND(Y212="Muy baja",AA212="Moderado"),AND(Y212="Baja",AA212="Menor"),AND(Y212="Baja",AA212="Moderado"),AND(Y212="Media",AA212="Leve"),AND(Y212="Media",AA212="Menor"),AND(Y212="Media",AA212="Moderado"),AND(Y212="Alta",AA212="Leve"),AND(Y212="Alta",AA212="Menor")),"Moderado",IF(OR(AND(Y212="Muy Baja",AA212="Mayor"),AND(Y212="Baja",AA212="Mayor"),AND(Y212="Media",AA212="Mayor"),AND(Y212="Alta",AA212="Moderado"),AND(Y212="Alta",AA212="Mayor"),AND(Y212="Muy Alta",AA212="Leve"),AND(Y212="Muy Alta",AA212="Menor"),AND(Y212="Muy Alta",AA212="Moderado"),AND(Y212="Muy Alta",AA212="Mayor")),"Alto",IF(OR(AND(Y212="Muy Baja",AA212="Catastrófico"),AND(Y212="Baja",AA212="Catastrófico"),AND(Y212="Media",AA212="Catastrófico"),AND(Y212="Alta",AA212="Catastrófico"),AND(Y212="Muy Alta",AA212="Catastrófico")),"Extremo","")))),"")</f>
        <v>Moderado</v>
      </c>
      <c r="AD212" s="202" t="s">
        <v>135</v>
      </c>
      <c r="AE212" s="132"/>
      <c r="AF212" s="133"/>
      <c r="AG212" s="134"/>
      <c r="AH212" s="134"/>
      <c r="AI212" s="132"/>
      <c r="AJ212" s="133"/>
    </row>
    <row r="213" spans="1:36" ht="85.5" customHeight="1" x14ac:dyDescent="0.3">
      <c r="A213" s="222"/>
      <c r="B213" s="224"/>
      <c r="C213" s="224"/>
      <c r="D213" s="224"/>
      <c r="E213" s="227"/>
      <c r="F213" s="224"/>
      <c r="G213" s="254"/>
      <c r="H213" s="242"/>
      <c r="I213" s="233"/>
      <c r="J213" s="236"/>
      <c r="K213" s="239">
        <f t="shared" ref="K213:K216" ca="1" si="168">IF(NOT(ISERROR(MATCH(J213,_xlfn.ANCHORARRAY(E224),0))),I226&amp;"Por favor no seleccionar los criterios de impacto",J213)</f>
        <v>0</v>
      </c>
      <c r="L213" s="242"/>
      <c r="M213" s="233"/>
      <c r="N213" s="230"/>
      <c r="O213" s="138">
        <v>2</v>
      </c>
      <c r="P213" s="348"/>
      <c r="Q213" s="221"/>
      <c r="R213" s="203"/>
      <c r="S213" s="203"/>
      <c r="T213" s="201"/>
      <c r="U213" s="203"/>
      <c r="V213" s="203"/>
      <c r="W213" s="203"/>
      <c r="X213" s="314"/>
      <c r="Y213" s="205"/>
      <c r="Z213" s="201"/>
      <c r="AA213" s="205"/>
      <c r="AB213" s="207"/>
      <c r="AC213" s="209"/>
      <c r="AD213" s="203"/>
      <c r="AE213" s="132"/>
      <c r="AF213" s="133"/>
      <c r="AG213" s="134"/>
      <c r="AH213" s="134"/>
      <c r="AI213" s="132"/>
      <c r="AJ213" s="133"/>
    </row>
    <row r="214" spans="1:36" hidden="1" x14ac:dyDescent="0.3">
      <c r="A214" s="222"/>
      <c r="B214" s="224"/>
      <c r="C214" s="224"/>
      <c r="D214" s="224"/>
      <c r="E214" s="227"/>
      <c r="F214" s="224"/>
      <c r="G214" s="254"/>
      <c r="H214" s="242"/>
      <c r="I214" s="233"/>
      <c r="J214" s="236"/>
      <c r="K214" s="239">
        <f t="shared" ca="1" si="168"/>
        <v>0</v>
      </c>
      <c r="L214" s="242"/>
      <c r="M214" s="233"/>
      <c r="N214" s="230"/>
      <c r="O214" s="138">
        <v>3</v>
      </c>
      <c r="P214" s="135"/>
      <c r="Q214" s="124" t="str">
        <f>IF(OR(R214="Preventivo",R214="Detectivo"),"Probabilidad",IF(R214="Correctivo","Impacto",""))</f>
        <v/>
      </c>
      <c r="R214" s="125"/>
      <c r="S214" s="125"/>
      <c r="T214" s="126" t="str">
        <f t="shared" ref="T214:T217" si="169">IF(AND(R214="Preventivo",S214="Automático"),"50%",IF(AND(R214="Preventivo",S214="Manual"),"40%",IF(AND(R214="Detectivo",S214="Automático"),"40%",IF(AND(R214="Detectivo",S214="Manual"),"30%",IF(AND(R214="Correctivo",S214="Automático"),"35%",IF(AND(R214="Correctivo",S214="Manual"),"25%",""))))))</f>
        <v/>
      </c>
      <c r="U214" s="125"/>
      <c r="V214" s="125"/>
      <c r="W214" s="125"/>
      <c r="X214" s="127" t="str">
        <f>IFERROR(IF(AND(Q213="Probabilidad",Q214="Probabilidad"),(Z213-(+Z213*T214)),IF(AND(Q213="Impacto",Q214="Probabilidad"),(Z212-(+Z212*T214)),IF(Q214="Impacto",Z213,""))),"")</f>
        <v/>
      </c>
      <c r="Y214" s="128" t="str">
        <f t="shared" si="154"/>
        <v/>
      </c>
      <c r="Z214" s="129" t="str">
        <f t="shared" ref="Z214:Z217" si="170">+X214</f>
        <v/>
      </c>
      <c r="AA214" s="128" t="str">
        <f t="shared" si="156"/>
        <v/>
      </c>
      <c r="AB214" s="137" t="str">
        <f>IFERROR(IF(AND(Q213="Impacto",Q214="Impacto"),(AB213-(+AB213*T214)),IF(AND(Q213="Probabilidad",Q214="Impacto"),(AB212-(+AB212*T214)),IF(Q214="Probabilidad",AB213,""))),"")</f>
        <v/>
      </c>
      <c r="AC214" s="130" t="str">
        <f t="shared" ref="AC214" si="171">IFERROR(IF(OR(AND(Y214="Muy Baja",AA214="Leve"),AND(Y214="Muy Baja",AA214="Menor"),AND(Y214="Baja",AA214="Leve")),"Bajo",IF(OR(AND(Y214="Muy baja",AA214="Moderado"),AND(Y214="Baja",AA214="Menor"),AND(Y214="Baja",AA214="Moderado"),AND(Y214="Media",AA214="Leve"),AND(Y214="Media",AA214="Menor"),AND(Y214="Media",AA214="Moderado"),AND(Y214="Alta",AA214="Leve"),AND(Y214="Alta",AA214="Menor")),"Moderado",IF(OR(AND(Y214="Muy Baja",AA214="Mayor"),AND(Y214="Baja",AA214="Mayor"),AND(Y214="Media",AA214="Mayor"),AND(Y214="Alta",AA214="Moderado"),AND(Y214="Alta",AA214="Mayor"),AND(Y214="Muy Alta",AA214="Leve"),AND(Y214="Muy Alta",AA214="Menor"),AND(Y214="Muy Alta",AA214="Moderado"),AND(Y214="Muy Alta",AA214="Mayor")),"Alto",IF(OR(AND(Y214="Muy Baja",AA214="Catastrófico"),AND(Y214="Baja",AA214="Catastrófico"),AND(Y214="Media",AA214="Catastrófico"),AND(Y214="Alta",AA214="Catastrófico"),AND(Y214="Muy Alta",AA214="Catastrófico")),"Extremo","")))),"")</f>
        <v/>
      </c>
      <c r="AD214" s="131"/>
      <c r="AE214" s="132"/>
      <c r="AF214" s="133"/>
      <c r="AG214" s="134"/>
      <c r="AH214" s="134"/>
      <c r="AI214" s="132"/>
      <c r="AJ214" s="133"/>
    </row>
    <row r="215" spans="1:36" hidden="1" x14ac:dyDescent="0.3">
      <c r="A215" s="222"/>
      <c r="B215" s="224"/>
      <c r="C215" s="224"/>
      <c r="D215" s="224"/>
      <c r="E215" s="227"/>
      <c r="F215" s="224"/>
      <c r="G215" s="254"/>
      <c r="H215" s="242"/>
      <c r="I215" s="233"/>
      <c r="J215" s="236"/>
      <c r="K215" s="239">
        <f t="shared" ca="1" si="168"/>
        <v>0</v>
      </c>
      <c r="L215" s="242"/>
      <c r="M215" s="233"/>
      <c r="N215" s="230"/>
      <c r="O215" s="138">
        <v>4</v>
      </c>
      <c r="P215" s="123"/>
      <c r="Q215" s="124" t="str">
        <f t="shared" ref="Q215:Q217" si="172">IF(OR(R215="Preventivo",R215="Detectivo"),"Probabilidad",IF(R215="Correctivo","Impacto",""))</f>
        <v/>
      </c>
      <c r="R215" s="125"/>
      <c r="S215" s="125"/>
      <c r="T215" s="126" t="str">
        <f t="shared" si="169"/>
        <v/>
      </c>
      <c r="U215" s="125"/>
      <c r="V215" s="125"/>
      <c r="W215" s="125"/>
      <c r="X215" s="127" t="str">
        <f t="shared" ref="X215:X217" si="173">IFERROR(IF(AND(Q214="Probabilidad",Q215="Probabilidad"),(Z214-(+Z214*T215)),IF(AND(Q214="Impacto",Q215="Probabilidad"),(Z213-(+Z213*T215)),IF(Q215="Impacto",Z214,""))),"")</f>
        <v/>
      </c>
      <c r="Y215" s="128" t="str">
        <f t="shared" si="154"/>
        <v/>
      </c>
      <c r="Z215" s="129" t="str">
        <f t="shared" si="170"/>
        <v/>
      </c>
      <c r="AA215" s="128" t="str">
        <f t="shared" si="156"/>
        <v/>
      </c>
      <c r="AB215" s="137" t="str">
        <f t="shared" ref="AB215:AB217" si="174">IFERROR(IF(AND(Q214="Impacto",Q215="Impacto"),(AB214-(+AB214*T215)),IF(AND(Q214="Probabilidad",Q215="Impacto"),(AB213-(+AB213*T215)),IF(Q215="Probabilidad",AB214,""))),"")</f>
        <v/>
      </c>
      <c r="AC215" s="130" t="str">
        <f>IFERROR(IF(OR(AND(Y215="Muy Baja",AA215="Leve"),AND(Y215="Muy Baja",AA215="Menor"),AND(Y215="Baja",AA215="Leve")),"Bajo",IF(OR(AND(Y215="Muy baja",AA215="Moderado"),AND(Y215="Baja",AA215="Menor"),AND(Y215="Baja",AA215="Moderado"),AND(Y215="Media",AA215="Leve"),AND(Y215="Media",AA215="Menor"),AND(Y215="Media",AA215="Moderado"),AND(Y215="Alta",AA215="Leve"),AND(Y215="Alta",AA215="Menor")),"Moderado",IF(OR(AND(Y215="Muy Baja",AA215="Mayor"),AND(Y215="Baja",AA215="Mayor"),AND(Y215="Media",AA215="Mayor"),AND(Y215="Alta",AA215="Moderado"),AND(Y215="Alta",AA215="Mayor"),AND(Y215="Muy Alta",AA215="Leve"),AND(Y215="Muy Alta",AA215="Menor"),AND(Y215="Muy Alta",AA215="Moderado"),AND(Y215="Muy Alta",AA215="Mayor")),"Alto",IF(OR(AND(Y215="Muy Baja",AA215="Catastrófico"),AND(Y215="Baja",AA215="Catastrófico"),AND(Y215="Media",AA215="Catastrófico"),AND(Y215="Alta",AA215="Catastrófico"),AND(Y215="Muy Alta",AA215="Catastrófico")),"Extremo","")))),"")</f>
        <v/>
      </c>
      <c r="AD215" s="131"/>
      <c r="AE215" s="132"/>
      <c r="AF215" s="133"/>
      <c r="AG215" s="134"/>
      <c r="AH215" s="134"/>
      <c r="AI215" s="132"/>
      <c r="AJ215" s="133"/>
    </row>
    <row r="216" spans="1:36" hidden="1" x14ac:dyDescent="0.3">
      <c r="A216" s="222"/>
      <c r="B216" s="224"/>
      <c r="C216" s="224"/>
      <c r="D216" s="224"/>
      <c r="E216" s="227"/>
      <c r="F216" s="224"/>
      <c r="G216" s="254"/>
      <c r="H216" s="242"/>
      <c r="I216" s="233"/>
      <c r="J216" s="236"/>
      <c r="K216" s="239">
        <f t="shared" ca="1" si="168"/>
        <v>0</v>
      </c>
      <c r="L216" s="242"/>
      <c r="M216" s="233"/>
      <c r="N216" s="230"/>
      <c r="O216" s="138">
        <v>5</v>
      </c>
      <c r="P216" s="123"/>
      <c r="Q216" s="124" t="str">
        <f t="shared" si="172"/>
        <v/>
      </c>
      <c r="R216" s="125"/>
      <c r="S216" s="125"/>
      <c r="T216" s="126" t="str">
        <f t="shared" si="169"/>
        <v/>
      </c>
      <c r="U216" s="125"/>
      <c r="V216" s="125"/>
      <c r="W216" s="125"/>
      <c r="X216" s="127" t="str">
        <f t="shared" si="173"/>
        <v/>
      </c>
      <c r="Y216" s="128" t="str">
        <f t="shared" si="154"/>
        <v/>
      </c>
      <c r="Z216" s="129" t="str">
        <f t="shared" si="170"/>
        <v/>
      </c>
      <c r="AA216" s="128" t="str">
        <f t="shared" si="156"/>
        <v/>
      </c>
      <c r="AB216" s="137" t="str">
        <f t="shared" si="174"/>
        <v/>
      </c>
      <c r="AC216" s="130" t="str">
        <f t="shared" ref="AC216:AC217" si="175">IFERROR(IF(OR(AND(Y216="Muy Baja",AA216="Leve"),AND(Y216="Muy Baja",AA216="Menor"),AND(Y216="Baja",AA216="Leve")),"Bajo",IF(OR(AND(Y216="Muy baja",AA216="Moderado"),AND(Y216="Baja",AA216="Menor"),AND(Y216="Baja",AA216="Moderado"),AND(Y216="Media",AA216="Leve"),AND(Y216="Media",AA216="Menor"),AND(Y216="Media",AA216="Moderado"),AND(Y216="Alta",AA216="Leve"),AND(Y216="Alta",AA216="Menor")),"Moderado",IF(OR(AND(Y216="Muy Baja",AA216="Mayor"),AND(Y216="Baja",AA216="Mayor"),AND(Y216="Media",AA216="Mayor"),AND(Y216="Alta",AA216="Moderado"),AND(Y216="Alta",AA216="Mayor"),AND(Y216="Muy Alta",AA216="Leve"),AND(Y216="Muy Alta",AA216="Menor"),AND(Y216="Muy Alta",AA216="Moderado"),AND(Y216="Muy Alta",AA216="Mayor")),"Alto",IF(OR(AND(Y216="Muy Baja",AA216="Catastrófico"),AND(Y216="Baja",AA216="Catastrófico"),AND(Y216="Media",AA216="Catastrófico"),AND(Y216="Alta",AA216="Catastrófico"),AND(Y216="Muy Alta",AA216="Catastrófico")),"Extremo","")))),"")</f>
        <v/>
      </c>
      <c r="AD216" s="131"/>
      <c r="AE216" s="132"/>
      <c r="AF216" s="133"/>
      <c r="AG216" s="134"/>
      <c r="AH216" s="134"/>
      <c r="AI216" s="132"/>
      <c r="AJ216" s="133"/>
    </row>
    <row r="217" spans="1:36" hidden="1" x14ac:dyDescent="0.3">
      <c r="A217" s="211"/>
      <c r="B217" s="225"/>
      <c r="C217" s="225"/>
      <c r="D217" s="225"/>
      <c r="E217" s="228"/>
      <c r="F217" s="225"/>
      <c r="G217" s="255"/>
      <c r="H217" s="243"/>
      <c r="I217" s="234"/>
      <c r="J217" s="237"/>
      <c r="K217" s="240">
        <f ca="1">IF(NOT(ISERROR(MATCH(J217,_xlfn.ANCHORARRAY(E228),0))),#REF!&amp;"Por favor no seleccionar los criterios de impacto",J217)</f>
        <v>0</v>
      </c>
      <c r="L217" s="243"/>
      <c r="M217" s="234"/>
      <c r="N217" s="231"/>
      <c r="O217" s="138">
        <v>6</v>
      </c>
      <c r="P217" s="123"/>
      <c r="Q217" s="124" t="str">
        <f t="shared" si="172"/>
        <v/>
      </c>
      <c r="R217" s="125"/>
      <c r="S217" s="125"/>
      <c r="T217" s="126" t="str">
        <f t="shared" si="169"/>
        <v/>
      </c>
      <c r="U217" s="125"/>
      <c r="V217" s="125"/>
      <c r="W217" s="125"/>
      <c r="X217" s="127" t="str">
        <f t="shared" si="173"/>
        <v/>
      </c>
      <c r="Y217" s="128" t="str">
        <f t="shared" si="154"/>
        <v/>
      </c>
      <c r="Z217" s="129" t="str">
        <f t="shared" si="170"/>
        <v/>
      </c>
      <c r="AA217" s="128" t="str">
        <f t="shared" si="156"/>
        <v/>
      </c>
      <c r="AB217" s="137" t="str">
        <f t="shared" si="174"/>
        <v/>
      </c>
      <c r="AC217" s="130" t="str">
        <f t="shared" si="175"/>
        <v/>
      </c>
      <c r="AD217" s="131"/>
      <c r="AE217" s="132"/>
      <c r="AF217" s="133"/>
      <c r="AG217" s="134"/>
      <c r="AH217" s="134"/>
      <c r="AI217" s="132"/>
      <c r="AJ217" s="133"/>
    </row>
    <row r="218" spans="1:36" ht="75" x14ac:dyDescent="0.3">
      <c r="A218" s="210">
        <v>4</v>
      </c>
      <c r="B218" s="223" t="s">
        <v>132</v>
      </c>
      <c r="C218" s="223" t="s">
        <v>306</v>
      </c>
      <c r="D218" s="223" t="s">
        <v>307</v>
      </c>
      <c r="E218" s="226" t="s">
        <v>308</v>
      </c>
      <c r="F218" s="223" t="s">
        <v>123</v>
      </c>
      <c r="G218" s="253">
        <v>12</v>
      </c>
      <c r="H218" s="241" t="str">
        <f>IF(G218&lt;=0,"",IF(G218&lt;=2,"Muy Baja",IF(G218&lt;=24,"Baja",IF(G218&lt;=500,"Media",IF(G218&lt;=5000,"Alta","Muy Alta")))))</f>
        <v>Baja</v>
      </c>
      <c r="I218" s="232">
        <f>IF(H218="","",IF(H218="Muy Baja",0.2,IF(H218="Baja",0.4,IF(H218="Media",0.6,IF(H218="Alta",0.8,IF(H218="Muy Alta",1,))))))</f>
        <v>0.4</v>
      </c>
      <c r="J218" s="235" t="s">
        <v>149</v>
      </c>
      <c r="K218" s="238" t="str">
        <f>IF(NOT(ISERROR(MATCH(J218,'[7]Tabla Impacto'!$B$221:$B$223,0))),'[7]Tabla Impacto'!$F$223&amp;"Por favor no seleccionar los criterios de impacto(Afectación Económica o presupuestal y Pérdida Reputacional)",J218)</f>
        <v xml:space="preserve">     Mayor a 500 SMLMV </v>
      </c>
      <c r="L218" s="241" t="str">
        <f>IF(OR(K218='[7]Tabla Impacto'!$C$11,K218='[7]Tabla Impacto'!$D$11),"Leve",IF(OR(K218='[7]Tabla Impacto'!$C$12,K218='[7]Tabla Impacto'!$D$12),"Menor",IF(OR(K218='[7]Tabla Impacto'!$C$13,K218='[7]Tabla Impacto'!$D$13),"Moderado",IF(OR(K218='[7]Tabla Impacto'!$C$14,K218='[7]Tabla Impacto'!$D$14),"Mayor",IF(OR(K218='[7]Tabla Impacto'!$C$15,K218='[7]Tabla Impacto'!$D$15),"Catastrófico","")))))</f>
        <v>Catastrófico</v>
      </c>
      <c r="M218" s="232">
        <f>IF(L218="","",IF(L218="Leve",0.2,IF(L218="Menor",0.4,IF(L218="Moderado",0.6,IF(L218="Mayor",0.8,IF(L218="Catastrófico",1,))))))</f>
        <v>1</v>
      </c>
      <c r="N218" s="229" t="str">
        <f>IF(OR(AND(H218="Muy Baja",L218="Leve"),AND(H218="Muy Baja",L218="Menor"),AND(H218="Baja",L218="Leve")),"Bajo",IF(OR(AND(H218="Muy baja",L218="Moderado"),AND(H218="Baja",L218="Menor"),AND(H218="Baja",L218="Moderado"),AND(H218="Media",L218="Leve"),AND(H218="Media",L218="Menor"),AND(H218="Media",L218="Moderado"),AND(H218="Alta",L218="Leve"),AND(H218="Alta",L218="Menor")),"Moderado",IF(OR(AND(H218="Muy Baja",L218="Mayor"),AND(H218="Baja",L218="Mayor"),AND(H218="Media",L218="Mayor"),AND(H218="Alta",L218="Moderado"),AND(H218="Alta",L218="Mayor"),AND(H218="Muy Alta",L218="Leve"),AND(H218="Muy Alta",L218="Menor"),AND(H218="Muy Alta",L218="Moderado"),AND(H218="Muy Alta",L218="Mayor")),"Alto",IF(OR(AND(H218="Muy Baja",L218="Catastrófico"),AND(H218="Baja",L218="Catastrófico"),AND(H218="Media",L218="Catastrófico"),AND(H218="Alta",L218="Catastrófico"),AND(H218="Muy Alta",L218="Catastrófico")),"Extremo",""))))</f>
        <v>Extremo</v>
      </c>
      <c r="O218" s="138">
        <v>1</v>
      </c>
      <c r="P218" s="147" t="s">
        <v>309</v>
      </c>
      <c r="Q218" s="145" t="str">
        <f>IF(OR(R218="Preventivo",R218="Detectivo"),"Probabilidad",IF(R218="Correctivo","Impacto",""))</f>
        <v>Probabilidad</v>
      </c>
      <c r="R218" s="148" t="s">
        <v>14</v>
      </c>
      <c r="S218" s="148" t="s">
        <v>9</v>
      </c>
      <c r="T218" s="149" t="str">
        <f>IF(AND(R218="Preventivo",S218="Automático"),"50%",IF(AND(R218="Preventivo",S218="Manual"),"40%",IF(AND(R218="Detectivo",S218="Automático"),"40%",IF(AND(R218="Detectivo",S218="Manual"),"30%",IF(AND(R218="Correctivo",S218="Automático"),"35%",IF(AND(R218="Correctivo",S218="Manual"),"25%",""))))))</f>
        <v>40%</v>
      </c>
      <c r="U218" s="148" t="s">
        <v>19</v>
      </c>
      <c r="V218" s="148" t="s">
        <v>22</v>
      </c>
      <c r="W218" s="148" t="s">
        <v>119</v>
      </c>
      <c r="X218" s="139">
        <f>IFERROR(IF(Q218="Probabilidad",(I218-(+I218*T218)),IF(Q218="Impacto",I218,"")),"")</f>
        <v>0.24</v>
      </c>
      <c r="Y218" s="142" t="str">
        <f>IFERROR(IF(X218="","",IF(X218&lt;=0.2,"Muy Baja",IF(X218&lt;=0.4,"Baja",IF(X218&lt;=0.6,"Media",IF(X218&lt;=0.8,"Alta","Muy Alta"))))),"")</f>
        <v>Baja</v>
      </c>
      <c r="Z218" s="149">
        <f>+X218</f>
        <v>0.24</v>
      </c>
      <c r="AA218" s="150" t="str">
        <f>IFERROR(IF(AB218="","",IF(AB218&lt;=0.2,"Leve",IF(AB218&lt;=0.4,"Menor",IF(AB218&lt;=0.6,"Moderado",IF(AB218&lt;=0.8,"Mayor","Catastrófico"))))),"")</f>
        <v>Catastrófico</v>
      </c>
      <c r="AB218" s="151">
        <f>IFERROR(IF(Q218="Impacto",(M218-(+M218*T218)),IF(Q218="Probabilidad",M218,"")),"")</f>
        <v>1</v>
      </c>
      <c r="AC218" s="144" t="str">
        <f>IFERROR(IF(OR(AND(Y218="Muy Baja",AA218="Leve"),AND(Y218="Muy Baja",AA218="Menor"),AND(Y218="Baja",AA218="Leve")),"Bajo",IF(OR(AND(Y218="Muy baja",AA218="Moderado"),AND(Y218="Baja",AA218="Menor"),AND(Y218="Baja",AA218="Moderado"),AND(Y218="Media",AA218="Leve"),AND(Y218="Media",AA218="Menor"),AND(Y218="Media",AA218="Moderado"),AND(Y218="Alta",AA218="Leve"),AND(Y218="Alta",AA218="Menor")),"Moderado",IF(OR(AND(Y218="Muy Baja",AA218="Mayor"),AND(Y218="Baja",AA218="Mayor"),AND(Y218="Media",AA218="Mayor"),AND(Y218="Alta",AA218="Moderado"),AND(Y218="Alta",AA218="Mayor"),AND(Y218="Muy Alta",AA218="Leve"),AND(Y218="Muy Alta",AA218="Menor"),AND(Y218="Muy Alta",AA218="Moderado"),AND(Y218="Muy Alta",AA218="Mayor")),"Alto",IF(OR(AND(Y218="Muy Baja",AA218="Catastrófico"),AND(Y218="Baja",AA218="Catastrófico"),AND(Y218="Media",AA218="Catastrófico"),AND(Y218="Alta",AA218="Catastrófico"),AND(Y218="Muy Alta",AA218="Catastrófico")),"Extremo","")))),"")</f>
        <v>Extremo</v>
      </c>
      <c r="AD218" s="140" t="s">
        <v>135</v>
      </c>
      <c r="AE218" s="132"/>
      <c r="AF218" s="133"/>
      <c r="AG218" s="134"/>
      <c r="AH218" s="134"/>
      <c r="AI218" s="132"/>
      <c r="AJ218" s="133"/>
    </row>
    <row r="219" spans="1:36" ht="75" x14ac:dyDescent="0.3">
      <c r="A219" s="222"/>
      <c r="B219" s="224"/>
      <c r="C219" s="224"/>
      <c r="D219" s="224"/>
      <c r="E219" s="227"/>
      <c r="F219" s="224"/>
      <c r="G219" s="254"/>
      <c r="H219" s="242"/>
      <c r="I219" s="233"/>
      <c r="J219" s="236"/>
      <c r="K219" s="239">
        <f ca="1">IF(NOT(ISERROR(MATCH(J219,_xlfn.ANCHORARRAY(#REF!),0))),#REF!&amp;"Por favor no seleccionar los criterios de impacto",J219)</f>
        <v>0</v>
      </c>
      <c r="L219" s="242"/>
      <c r="M219" s="233"/>
      <c r="N219" s="230"/>
      <c r="O219" s="138">
        <v>2</v>
      </c>
      <c r="P219" s="152" t="s">
        <v>310</v>
      </c>
      <c r="Q219" s="145" t="str">
        <f>IF(OR(R219="Preventivo",R219="Detectivo"),"Probabilidad",IF(R219="Correctivo","Impacto",""))</f>
        <v>Probabilidad</v>
      </c>
      <c r="R219" s="148" t="s">
        <v>14</v>
      </c>
      <c r="S219" s="148" t="s">
        <v>9</v>
      </c>
      <c r="T219" s="149" t="str">
        <f>IF(AND(R219="Preventivo",S219="Automático"),"50%",IF(AND(R219="Preventivo",S219="Manual"),"40%",IF(AND(R219="Detectivo",S219="Automático"),"40%",IF(AND(R219="Detectivo",S219="Manual"),"30%",IF(AND(R219="Correctivo",S219="Automático"),"35%",IF(AND(R219="Correctivo",S219="Manual"),"25%",""))))))</f>
        <v>40%</v>
      </c>
      <c r="U219" s="148" t="s">
        <v>19</v>
      </c>
      <c r="V219" s="148" t="s">
        <v>22</v>
      </c>
      <c r="W219" s="148" t="s">
        <v>119</v>
      </c>
      <c r="X219" s="139">
        <f>IFERROR(IF(Q218="Probabilidad",(I218-(+I218*T219)),IF(Q219="Impacto",I218,"")),"")</f>
        <v>0.24</v>
      </c>
      <c r="Y219" s="142" t="str">
        <f>IFERROR(IF(X219="","",IF(X219&lt;=0.2,"Muy Baja",IF(X219&lt;=0.4,"Baja",IF(X219&lt;=0.6,"Media",IF(X219&lt;=0.8,"Alta","Muy Alta"))))),"")</f>
        <v>Baja</v>
      </c>
      <c r="Z219" s="141">
        <f>+X219</f>
        <v>0.24</v>
      </c>
      <c r="AA219" s="150" t="str">
        <f>IFERROR(IF(AB219="","",IF(AB219&lt;=0.2,"Leve",IF(AB219&lt;=0.4,"Menor",IF(AB219&lt;=0.6,"Moderado",IF(AB219&lt;=0.8,"Mayor","Catastrófico"))))),"")</f>
        <v>Catastrófico</v>
      </c>
      <c r="AB219" s="151">
        <f>IFERROR(IF(Q219="Impacto",(M219-(+M219*T219)),IF(Q219="Probabilidad",M218,"")),"")</f>
        <v>1</v>
      </c>
      <c r="AC219" s="144" t="str">
        <f>IFERROR(IF(OR(AND(Y219="Muy Baja",AA219="Leve"),AND(Y219="Muy Baja",AA219="Menor"),AND(Y219="Baja",AA219="Leve")),"Bajo",IF(OR(AND(Y219="Muy baja",AA219="Moderado"),AND(Y219="Baja",AA219="Menor"),AND(Y219="Baja",AA219="Moderado"),AND(Y219="Media",AA219="Leve"),AND(Y219="Media",AA219="Menor"),AND(Y219="Media",AA219="Moderado"),AND(Y219="Alta",AA219="Leve"),AND(Y219="Alta",AA219="Menor")),"Moderado",IF(OR(AND(Y219="Muy Baja",AA219="Mayor"),AND(Y219="Baja",AA219="Mayor"),AND(Y219="Media",AA219="Mayor"),AND(Y219="Alta",AA219="Moderado"),AND(Y219="Alta",AA219="Mayor"),AND(Y219="Muy Alta",AA219="Leve"),AND(Y219="Muy Alta",AA219="Menor"),AND(Y219="Muy Alta",AA219="Moderado"),AND(Y219="Muy Alta",AA219="Mayor")),"Alto",IF(OR(AND(Y219="Muy Baja",AA219="Catastrófico"),AND(Y219="Baja",AA219="Catastrófico"),AND(Y219="Media",AA219="Catastrófico"),AND(Y219="Alta",AA219="Catastrófico"),AND(Y219="Muy Alta",AA219="Catastrófico")),"Extremo","")))),"")</f>
        <v>Extremo</v>
      </c>
      <c r="AD219" s="140" t="s">
        <v>135</v>
      </c>
      <c r="AE219" s="132"/>
      <c r="AF219" s="133"/>
      <c r="AG219" s="134"/>
      <c r="AH219" s="134"/>
      <c r="AI219" s="132"/>
      <c r="AJ219" s="133"/>
    </row>
    <row r="220" spans="1:36" hidden="1" x14ac:dyDescent="0.3">
      <c r="A220" s="222"/>
      <c r="B220" s="224"/>
      <c r="C220" s="224"/>
      <c r="D220" s="224"/>
      <c r="E220" s="227"/>
      <c r="F220" s="224"/>
      <c r="G220" s="254"/>
      <c r="H220" s="242"/>
      <c r="I220" s="233"/>
      <c r="J220" s="236"/>
      <c r="K220" s="239">
        <f ca="1">IF(NOT(ISERROR(MATCH(J220,_xlfn.ANCHORARRAY(#REF!),0))),#REF!&amp;"Por favor no seleccionar los criterios de impacto",J220)</f>
        <v>0</v>
      </c>
      <c r="L220" s="242"/>
      <c r="M220" s="233"/>
      <c r="N220" s="230"/>
      <c r="O220" s="138">
        <v>3</v>
      </c>
      <c r="P220" s="135"/>
      <c r="Q220" s="124" t="str">
        <f>IF(OR(R220="Preventivo",R220="Detectivo"),"Probabilidad",IF(R220="Correctivo","Impacto",""))</f>
        <v/>
      </c>
      <c r="R220" s="125"/>
      <c r="S220" s="125"/>
      <c r="T220" s="126" t="str">
        <f t="shared" ref="T220:T223" si="176">IF(AND(R220="Preventivo",S220="Automático"),"50%",IF(AND(R220="Preventivo",S220="Manual"),"40%",IF(AND(R220="Detectivo",S220="Automático"),"40%",IF(AND(R220="Detectivo",S220="Manual"),"30%",IF(AND(R220="Correctivo",S220="Automático"),"35%",IF(AND(R220="Correctivo",S220="Manual"),"25%",""))))))</f>
        <v/>
      </c>
      <c r="U220" s="125"/>
      <c r="V220" s="125"/>
      <c r="W220" s="125"/>
      <c r="X220" s="127" t="str">
        <f>IFERROR(IF(AND(Q219="Probabilidad",Q220="Probabilidad"),(Z219-(+Z219*T220)),IF(AND(Q219="Impacto",Q220="Probabilidad"),(Z218-(+Z218*T220)),IF(Q220="Impacto",Z219,""))),"")</f>
        <v/>
      </c>
      <c r="Y220" s="128" t="str">
        <f t="shared" si="154"/>
        <v/>
      </c>
      <c r="Z220" s="129" t="str">
        <f t="shared" ref="Z220:Z223" si="177">+X220</f>
        <v/>
      </c>
      <c r="AA220" s="128" t="str">
        <f t="shared" si="156"/>
        <v/>
      </c>
      <c r="AB220" s="137" t="str">
        <f>IFERROR(IF(AND(Q219="Impacto",Q220="Impacto"),(AB219-(+AB219*T220)),IF(AND(Q219="Probabilidad",Q220="Impacto"),(AB218-(+AB218*T220)),IF(Q220="Probabilidad",AB219,""))),"")</f>
        <v/>
      </c>
      <c r="AC220" s="130" t="str">
        <f t="shared" ref="AC220" si="178">IFERROR(IF(OR(AND(Y220="Muy Baja",AA220="Leve"),AND(Y220="Muy Baja",AA220="Menor"),AND(Y220="Baja",AA220="Leve")),"Bajo",IF(OR(AND(Y220="Muy baja",AA220="Moderado"),AND(Y220="Baja",AA220="Menor"),AND(Y220="Baja",AA220="Moderado"),AND(Y220="Media",AA220="Leve"),AND(Y220="Media",AA220="Menor"),AND(Y220="Media",AA220="Moderado"),AND(Y220="Alta",AA220="Leve"),AND(Y220="Alta",AA220="Menor")),"Moderado",IF(OR(AND(Y220="Muy Baja",AA220="Mayor"),AND(Y220="Baja",AA220="Mayor"),AND(Y220="Media",AA220="Mayor"),AND(Y220="Alta",AA220="Moderado"),AND(Y220="Alta",AA220="Mayor"),AND(Y220="Muy Alta",AA220="Leve"),AND(Y220="Muy Alta",AA220="Menor"),AND(Y220="Muy Alta",AA220="Moderado"),AND(Y220="Muy Alta",AA220="Mayor")),"Alto",IF(OR(AND(Y220="Muy Baja",AA220="Catastrófico"),AND(Y220="Baja",AA220="Catastrófico"),AND(Y220="Media",AA220="Catastrófico"),AND(Y220="Alta",AA220="Catastrófico"),AND(Y220="Muy Alta",AA220="Catastrófico")),"Extremo","")))),"")</f>
        <v/>
      </c>
      <c r="AD220" s="131"/>
      <c r="AE220" s="132"/>
      <c r="AF220" s="133"/>
      <c r="AG220" s="134"/>
      <c r="AH220" s="134"/>
      <c r="AI220" s="132"/>
      <c r="AJ220" s="133"/>
    </row>
    <row r="221" spans="1:36" hidden="1" x14ac:dyDescent="0.3">
      <c r="A221" s="222"/>
      <c r="B221" s="224"/>
      <c r="C221" s="224"/>
      <c r="D221" s="224"/>
      <c r="E221" s="227"/>
      <c r="F221" s="224"/>
      <c r="G221" s="254"/>
      <c r="H221" s="242"/>
      <c r="I221" s="233"/>
      <c r="J221" s="236"/>
      <c r="K221" s="239">
        <f ca="1">IF(NOT(ISERROR(MATCH(J221,_xlfn.ANCHORARRAY(#REF!),0))),#REF!&amp;"Por favor no seleccionar los criterios de impacto",J221)</f>
        <v>0</v>
      </c>
      <c r="L221" s="242"/>
      <c r="M221" s="233"/>
      <c r="N221" s="230"/>
      <c r="O221" s="138">
        <v>4</v>
      </c>
      <c r="P221" s="123"/>
      <c r="Q221" s="124" t="str">
        <f t="shared" ref="Q221:Q223" si="179">IF(OR(R221="Preventivo",R221="Detectivo"),"Probabilidad",IF(R221="Correctivo","Impacto",""))</f>
        <v/>
      </c>
      <c r="R221" s="125"/>
      <c r="S221" s="125"/>
      <c r="T221" s="126" t="str">
        <f t="shared" si="176"/>
        <v/>
      </c>
      <c r="U221" s="125"/>
      <c r="V221" s="125"/>
      <c r="W221" s="125"/>
      <c r="X221" s="127" t="str">
        <f t="shared" ref="X221:X223" si="180">IFERROR(IF(AND(Q220="Probabilidad",Q221="Probabilidad"),(Z220-(+Z220*T221)),IF(AND(Q220="Impacto",Q221="Probabilidad"),(Z219-(+Z219*T221)),IF(Q221="Impacto",Z220,""))),"")</f>
        <v/>
      </c>
      <c r="Y221" s="128" t="str">
        <f t="shared" si="154"/>
        <v/>
      </c>
      <c r="Z221" s="129" t="str">
        <f t="shared" si="177"/>
        <v/>
      </c>
      <c r="AA221" s="128" t="str">
        <f t="shared" si="156"/>
        <v/>
      </c>
      <c r="AB221" s="137" t="str">
        <f t="shared" ref="AB221:AB223" si="181">IFERROR(IF(AND(Q220="Impacto",Q221="Impacto"),(AB220-(+AB220*T221)),IF(AND(Q220="Probabilidad",Q221="Impacto"),(AB219-(+AB219*T221)),IF(Q221="Probabilidad",AB220,""))),"")</f>
        <v/>
      </c>
      <c r="AC221" s="130" t="str">
        <f>IFERROR(IF(OR(AND(Y221="Muy Baja",AA221="Leve"),AND(Y221="Muy Baja",AA221="Menor"),AND(Y221="Baja",AA221="Leve")),"Bajo",IF(OR(AND(Y221="Muy baja",AA221="Moderado"),AND(Y221="Baja",AA221="Menor"),AND(Y221="Baja",AA221="Moderado"),AND(Y221="Media",AA221="Leve"),AND(Y221="Media",AA221="Menor"),AND(Y221="Media",AA221="Moderado"),AND(Y221="Alta",AA221="Leve"),AND(Y221="Alta",AA221="Menor")),"Moderado",IF(OR(AND(Y221="Muy Baja",AA221="Mayor"),AND(Y221="Baja",AA221="Mayor"),AND(Y221="Media",AA221="Mayor"),AND(Y221="Alta",AA221="Moderado"),AND(Y221="Alta",AA221="Mayor"),AND(Y221="Muy Alta",AA221="Leve"),AND(Y221="Muy Alta",AA221="Menor"),AND(Y221="Muy Alta",AA221="Moderado"),AND(Y221="Muy Alta",AA221="Mayor")),"Alto",IF(OR(AND(Y221="Muy Baja",AA221="Catastrófico"),AND(Y221="Baja",AA221="Catastrófico"),AND(Y221="Media",AA221="Catastrófico"),AND(Y221="Alta",AA221="Catastrófico"),AND(Y221="Muy Alta",AA221="Catastrófico")),"Extremo","")))),"")</f>
        <v/>
      </c>
      <c r="AD221" s="131"/>
      <c r="AE221" s="132"/>
      <c r="AF221" s="133"/>
      <c r="AG221" s="134"/>
      <c r="AH221" s="134"/>
      <c r="AI221" s="132"/>
      <c r="AJ221" s="133"/>
    </row>
    <row r="222" spans="1:36" hidden="1" x14ac:dyDescent="0.3">
      <c r="A222" s="222"/>
      <c r="B222" s="224"/>
      <c r="C222" s="224"/>
      <c r="D222" s="224"/>
      <c r="E222" s="227"/>
      <c r="F222" s="224"/>
      <c r="G222" s="254"/>
      <c r="H222" s="242"/>
      <c r="I222" s="233"/>
      <c r="J222" s="236"/>
      <c r="K222" s="239">
        <f ca="1">IF(NOT(ISERROR(MATCH(J222,_xlfn.ANCHORARRAY(#REF!),0))),#REF!&amp;"Por favor no seleccionar los criterios de impacto",J222)</f>
        <v>0</v>
      </c>
      <c r="L222" s="242"/>
      <c r="M222" s="233"/>
      <c r="N222" s="230"/>
      <c r="O222" s="138">
        <v>5</v>
      </c>
      <c r="P222" s="123"/>
      <c r="Q222" s="124" t="str">
        <f t="shared" si="179"/>
        <v/>
      </c>
      <c r="R222" s="125"/>
      <c r="S222" s="125"/>
      <c r="T222" s="126" t="str">
        <f t="shared" si="176"/>
        <v/>
      </c>
      <c r="U222" s="125"/>
      <c r="V222" s="125"/>
      <c r="W222" s="125"/>
      <c r="X222" s="136" t="str">
        <f t="shared" si="180"/>
        <v/>
      </c>
      <c r="Y222" s="128" t="str">
        <f>IFERROR(IF(X222="","",IF(X222&lt;=0.2,"Muy Baja",IF(X222&lt;=0.4,"Baja",IF(X222&lt;=0.6,"Media",IF(X222&lt;=0.8,"Alta","Muy Alta"))))),"")</f>
        <v/>
      </c>
      <c r="Z222" s="129" t="str">
        <f t="shared" si="177"/>
        <v/>
      </c>
      <c r="AA222" s="128" t="str">
        <f t="shared" si="156"/>
        <v/>
      </c>
      <c r="AB222" s="137" t="str">
        <f t="shared" si="181"/>
        <v/>
      </c>
      <c r="AC222" s="130" t="str">
        <f t="shared" ref="AC222:AC223" si="182">IFERROR(IF(OR(AND(Y222="Muy Baja",AA222="Leve"),AND(Y222="Muy Baja",AA222="Menor"),AND(Y222="Baja",AA222="Leve")),"Bajo",IF(OR(AND(Y222="Muy baja",AA222="Moderado"),AND(Y222="Baja",AA222="Menor"),AND(Y222="Baja",AA222="Moderado"),AND(Y222="Media",AA222="Leve"),AND(Y222="Media",AA222="Menor"),AND(Y222="Media",AA222="Moderado"),AND(Y222="Alta",AA222="Leve"),AND(Y222="Alta",AA222="Menor")),"Moderado",IF(OR(AND(Y222="Muy Baja",AA222="Mayor"),AND(Y222="Baja",AA222="Mayor"),AND(Y222="Media",AA222="Mayor"),AND(Y222="Alta",AA222="Moderado"),AND(Y222="Alta",AA222="Mayor"),AND(Y222="Muy Alta",AA222="Leve"),AND(Y222="Muy Alta",AA222="Menor"),AND(Y222="Muy Alta",AA222="Moderado"),AND(Y222="Muy Alta",AA222="Mayor")),"Alto",IF(OR(AND(Y222="Muy Baja",AA222="Catastrófico"),AND(Y222="Baja",AA222="Catastrófico"),AND(Y222="Media",AA222="Catastrófico"),AND(Y222="Alta",AA222="Catastrófico"),AND(Y222="Muy Alta",AA222="Catastrófico")),"Extremo","")))),"")</f>
        <v/>
      </c>
      <c r="AD222" s="131"/>
      <c r="AE222" s="132"/>
      <c r="AF222" s="133"/>
      <c r="AG222" s="134"/>
      <c r="AH222" s="134"/>
      <c r="AI222" s="132"/>
      <c r="AJ222" s="133"/>
    </row>
    <row r="223" spans="1:36" hidden="1" x14ac:dyDescent="0.3">
      <c r="A223" s="211"/>
      <c r="B223" s="225"/>
      <c r="C223" s="225"/>
      <c r="D223" s="225"/>
      <c r="E223" s="228"/>
      <c r="F223" s="225"/>
      <c r="G223" s="255"/>
      <c r="H223" s="243"/>
      <c r="I223" s="234"/>
      <c r="J223" s="237"/>
      <c r="K223" s="240">
        <f ca="1">IF(NOT(ISERROR(MATCH(J223,_xlfn.ANCHORARRAY(#REF!),0))),#REF!&amp;"Por favor no seleccionar los criterios de impacto",J223)</f>
        <v>0</v>
      </c>
      <c r="L223" s="243"/>
      <c r="M223" s="234"/>
      <c r="N223" s="231"/>
      <c r="O223" s="138">
        <v>6</v>
      </c>
      <c r="P223" s="123"/>
      <c r="Q223" s="124" t="str">
        <f t="shared" si="179"/>
        <v/>
      </c>
      <c r="R223" s="125"/>
      <c r="S223" s="125"/>
      <c r="T223" s="126" t="str">
        <f t="shared" si="176"/>
        <v/>
      </c>
      <c r="U223" s="125"/>
      <c r="V223" s="125"/>
      <c r="W223" s="125"/>
      <c r="X223" s="127" t="str">
        <f t="shared" si="180"/>
        <v/>
      </c>
      <c r="Y223" s="128" t="str">
        <f t="shared" si="154"/>
        <v/>
      </c>
      <c r="Z223" s="129" t="str">
        <f t="shared" si="177"/>
        <v/>
      </c>
      <c r="AA223" s="128" t="str">
        <f t="shared" si="156"/>
        <v/>
      </c>
      <c r="AB223" s="137" t="str">
        <f t="shared" si="181"/>
        <v/>
      </c>
      <c r="AC223" s="130" t="str">
        <f t="shared" si="182"/>
        <v/>
      </c>
      <c r="AD223" s="131"/>
      <c r="AE223" s="132"/>
      <c r="AF223" s="133"/>
      <c r="AG223" s="134"/>
      <c r="AH223" s="134"/>
      <c r="AI223" s="132"/>
      <c r="AJ223" s="133"/>
    </row>
    <row r="224" spans="1:36" ht="75" x14ac:dyDescent="0.3">
      <c r="A224" s="210">
        <v>5</v>
      </c>
      <c r="B224" s="223" t="s">
        <v>132</v>
      </c>
      <c r="C224" s="223" t="s">
        <v>311</v>
      </c>
      <c r="D224" s="223" t="s">
        <v>312</v>
      </c>
      <c r="E224" s="226" t="s">
        <v>313</v>
      </c>
      <c r="F224" s="223" t="s">
        <v>123</v>
      </c>
      <c r="G224" s="253">
        <v>12</v>
      </c>
      <c r="H224" s="241" t="str">
        <f>IF(G224&lt;=0,"",IF(G224&lt;=2,"Muy Baja",IF(G224&lt;=24,"Baja",IF(G224&lt;=500,"Media",IF(G224&lt;=5000,"Alta","Muy Alta")))))</f>
        <v>Baja</v>
      </c>
      <c r="I224" s="232">
        <f>IF(H224="","",IF(H224="Muy Baja",0.2,IF(H224="Baja",0.4,IF(H224="Media",0.6,IF(H224="Alta",0.8,IF(H224="Muy Alta",1,))))))</f>
        <v>0.4</v>
      </c>
      <c r="J224" s="235" t="s">
        <v>149</v>
      </c>
      <c r="K224" s="238" t="str">
        <f>IF(NOT(ISERROR(MATCH(J224,'[7]Tabla Impacto'!$B$221:$B$223,0))),'[7]Tabla Impacto'!$F$223&amp;"Por favor no seleccionar los criterios de impacto(Afectación Económica o presupuestal y Pérdida Reputacional)",J224)</f>
        <v xml:space="preserve">     Mayor a 500 SMLMV </v>
      </c>
      <c r="L224" s="241" t="str">
        <f>IF(OR(K224='[7]Tabla Impacto'!$C$11,K224='[7]Tabla Impacto'!$D$11),"Leve",IF(OR(K224='[7]Tabla Impacto'!$C$12,K224='[7]Tabla Impacto'!$D$12),"Menor",IF(OR(K224='[7]Tabla Impacto'!$C$13,K224='[7]Tabla Impacto'!$D$13),"Moderado",IF(OR(K224='[7]Tabla Impacto'!$C$14,K224='[7]Tabla Impacto'!$D$14),"Mayor",IF(OR(K224='[7]Tabla Impacto'!$C$15,K224='[7]Tabla Impacto'!$D$15),"Catastrófico","")))))</f>
        <v>Catastrófico</v>
      </c>
      <c r="M224" s="232">
        <f>IF(L224="","",IF(L224="Leve",0.2,IF(L224="Menor",0.4,IF(L224="Moderado",0.6,IF(L224="Mayor",0.8,IF(L224="Catastrófico",1,))))))</f>
        <v>1</v>
      </c>
      <c r="N224" s="229" t="str">
        <f>IF(OR(AND(H224="Muy Baja",L224="Leve"),AND(H224="Muy Baja",L224="Menor"),AND(H224="Baja",L224="Leve")),"Bajo",IF(OR(AND(H224="Muy baja",L224="Moderado"),AND(H224="Baja",L224="Menor"),AND(H224="Baja",L224="Moderado"),AND(H224="Media",L224="Leve"),AND(H224="Media",L224="Menor"),AND(H224="Media",L224="Moderado"),AND(H224="Alta",L224="Leve"),AND(H224="Alta",L224="Menor")),"Moderado",IF(OR(AND(H224="Muy Baja",L224="Mayor"),AND(H224="Baja",L224="Mayor"),AND(H224="Media",L224="Mayor"),AND(H224="Alta",L224="Moderado"),AND(H224="Alta",L224="Mayor"),AND(H224="Muy Alta",L224="Leve"),AND(H224="Muy Alta",L224="Menor"),AND(H224="Muy Alta",L224="Moderado"),AND(H224="Muy Alta",L224="Mayor")),"Alto",IF(OR(AND(H224="Muy Baja",L224="Catastrófico"),AND(H224="Baja",L224="Catastrófico"),AND(H224="Media",L224="Catastrófico"),AND(H224="Alta",L224="Catastrófico"),AND(H224="Muy Alta",L224="Catastrófico")),"Extremo",""))))</f>
        <v>Extremo</v>
      </c>
      <c r="O224" s="138">
        <v>1</v>
      </c>
      <c r="P224" s="152" t="s">
        <v>314</v>
      </c>
      <c r="Q224" s="153" t="str">
        <f>IF(OR(R224="Preventivo",R224="Detectivo"),"Probabilidad",IF(R224="Correctivo","Impacto",""))</f>
        <v>Probabilidad</v>
      </c>
      <c r="R224" s="148" t="s">
        <v>14</v>
      </c>
      <c r="S224" s="148" t="s">
        <v>9</v>
      </c>
      <c r="T224" s="149" t="str">
        <f>IF(AND(R224="Preventivo",S224="Automático"),"50%",IF(AND(R224="Preventivo",S224="Manual"),"40%",IF(AND(R224="Detectivo",S224="Automático"),"40%",IF(AND(R224="Detectivo",S224="Manual"),"30%",IF(AND(R224="Correctivo",S224="Automático"),"35%",IF(AND(R224="Correctivo",S224="Manual"),"25%",""))))))</f>
        <v>40%</v>
      </c>
      <c r="U224" s="148" t="s">
        <v>19</v>
      </c>
      <c r="V224" s="148" t="s">
        <v>22</v>
      </c>
      <c r="W224" s="148" t="s">
        <v>119</v>
      </c>
      <c r="X224" s="139">
        <f>IFERROR(IF(Q224="Probabilidad",(I224-(+I224*T224)),IF(Q224="Impacto",I224,"")),"")</f>
        <v>0.24</v>
      </c>
      <c r="Y224" s="142" t="str">
        <f>IFERROR(IF(X224="","",IF(X224&lt;=0.2,"Muy Baja",IF(X224&lt;=0.4,"Baja",IF(X224&lt;=0.6,"Media",IF(X224&lt;=0.8,"Alta","Muy Alta"))))),"")</f>
        <v>Baja</v>
      </c>
      <c r="Z224" s="141">
        <f>+X224</f>
        <v>0.24</v>
      </c>
      <c r="AA224" s="128" t="str">
        <f>IFERROR(IF(AB224="","",IF(AB224&lt;=0.2,"Leve",IF(AB224&lt;=0.4,"Menor",IF(AB224&lt;=0.6,"Moderado",IF(AB224&lt;=0.8,"Mayor","Catastrófico"))))),"")</f>
        <v>Catastrófico</v>
      </c>
      <c r="AB224" s="151">
        <f>IFERROR(IF(Q224="Impacto",(M224-(+M224*T224)),IF(Q224="Probabilidad",M224,"")),"")</f>
        <v>1</v>
      </c>
      <c r="AC224" s="130" t="str">
        <f>IFERROR(IF(OR(AND(Y224="Muy Baja",AA224="Leve"),AND(Y224="Muy Baja",AA224="Menor"),AND(Y224="Baja",AA224="Leve")),"Bajo",IF(OR(AND(Y224="Muy baja",AA224="Moderado"),AND(Y224="Baja",AA224="Menor"),AND(Y224="Baja",AA224="Moderado"),AND(Y224="Media",AA224="Leve"),AND(Y224="Media",AA224="Menor"),AND(Y224="Media",AA224="Moderado"),AND(Y224="Alta",AA224="Leve"),AND(Y224="Alta",AA224="Menor")),"Moderado",IF(OR(AND(Y224="Muy Baja",AA224="Mayor"),AND(Y224="Baja",AA224="Mayor"),AND(Y224="Media",AA224="Mayor"),AND(Y224="Alta",AA224="Moderado"),AND(Y224="Alta",AA224="Mayor"),AND(Y224="Muy Alta",AA224="Leve"),AND(Y224="Muy Alta",AA224="Menor"),AND(Y224="Muy Alta",AA224="Moderado"),AND(Y224="Muy Alta",AA224="Mayor")),"Alto",IF(OR(AND(Y224="Muy Baja",AA224="Catastrófico"),AND(Y224="Baja",AA224="Catastrófico"),AND(Y224="Media",AA224="Catastrófico"),AND(Y224="Alta",AA224="Catastrófico"),AND(Y224="Muy Alta",AA224="Catastrófico")),"Extremo","")))),"")</f>
        <v>Extremo</v>
      </c>
      <c r="AD224" s="140" t="s">
        <v>135</v>
      </c>
      <c r="AE224" s="132"/>
      <c r="AF224" s="133"/>
      <c r="AG224" s="134"/>
      <c r="AH224" s="134"/>
      <c r="AI224" s="132"/>
      <c r="AJ224" s="133"/>
    </row>
    <row r="225" spans="1:36" ht="75" x14ac:dyDescent="0.3">
      <c r="A225" s="222"/>
      <c r="B225" s="224"/>
      <c r="C225" s="224"/>
      <c r="D225" s="224"/>
      <c r="E225" s="227"/>
      <c r="F225" s="224"/>
      <c r="G225" s="254"/>
      <c r="H225" s="242"/>
      <c r="I225" s="233"/>
      <c r="J225" s="236"/>
      <c r="K225" s="239">
        <f ca="1">IF(NOT(ISERROR(MATCH(J225,_xlfn.ANCHORARRAY(#REF!),0))),#REF!&amp;"Por favor no seleccionar los criterios de impacto",J225)</f>
        <v>0</v>
      </c>
      <c r="L225" s="242"/>
      <c r="M225" s="233"/>
      <c r="N225" s="230"/>
      <c r="O225" s="138">
        <v>2</v>
      </c>
      <c r="P225" s="152" t="s">
        <v>315</v>
      </c>
      <c r="Q225" s="153" t="str">
        <f>IF(OR(R225="Preventivo",R225="Detectivo"),"Probabilidad",IF(R225="Correctivo","Impacto",""))</f>
        <v>Probabilidad</v>
      </c>
      <c r="R225" s="148" t="s">
        <v>14</v>
      </c>
      <c r="S225" s="148" t="s">
        <v>9</v>
      </c>
      <c r="T225" s="149" t="str">
        <f t="shared" ref="T225:T229" si="183">IF(AND(R225="Preventivo",S225="Automático"),"50%",IF(AND(R225="Preventivo",S225="Manual"),"40%",IF(AND(R225="Detectivo",S225="Automático"),"40%",IF(AND(R225="Detectivo",S225="Manual"),"30%",IF(AND(R225="Correctivo",S225="Automático"),"35%",IF(AND(R225="Correctivo",S225="Manual"),"25%",""))))))</f>
        <v>40%</v>
      </c>
      <c r="U225" s="148" t="s">
        <v>19</v>
      </c>
      <c r="V225" s="148" t="s">
        <v>22</v>
      </c>
      <c r="W225" s="148" t="s">
        <v>119</v>
      </c>
      <c r="X225" s="139">
        <f>IFERROR(IF(Q225="Probabilidad",(I224-(+I224*T225)),IF(Q224="Impacto",I224,"")),"")</f>
        <v>0.24</v>
      </c>
      <c r="Y225" s="142" t="str">
        <f>IFERROR(IF(X225="","",IF(X224&lt;=0.2,"Muy Baja",IF(X224&lt;=0.4,"Baja",IF(X224&lt;=0.6,"Media",IF(X224&lt;=0.8,"Alta","Muy Alta"))))),"")</f>
        <v>Baja</v>
      </c>
      <c r="Z225" s="141">
        <f t="shared" ref="Z225:Z229" si="184">+X225</f>
        <v>0.24</v>
      </c>
      <c r="AA225" s="128" t="str">
        <f t="shared" si="156"/>
        <v>Catastrófico</v>
      </c>
      <c r="AB225" s="141">
        <f>IFERROR(IF(AND(Q224="Impacto",Q225="Impacto"),(AB224-(+AB224*T225)),IF(Q225="Impacto",(M224-(+M224*T225)),IF(Q225="Probabilidad",AB224,""))),"")</f>
        <v>1</v>
      </c>
      <c r="AC225" s="130" t="str">
        <f t="shared" ref="AC225:AC226" si="185">IFERROR(IF(OR(AND(Y225="Muy Baja",AA225="Leve"),AND(Y225="Muy Baja",AA225="Menor"),AND(Y225="Baja",AA225="Leve")),"Bajo",IF(OR(AND(Y225="Muy baja",AA225="Moderado"),AND(Y225="Baja",AA225="Menor"),AND(Y225="Baja",AA225="Moderado"),AND(Y225="Media",AA225="Leve"),AND(Y225="Media",AA225="Menor"),AND(Y225="Media",AA225="Moderado"),AND(Y225="Alta",AA225="Leve"),AND(Y225="Alta",AA225="Menor")),"Moderado",IF(OR(AND(Y225="Muy Baja",AA225="Mayor"),AND(Y225="Baja",AA225="Mayor"),AND(Y225="Media",AA225="Mayor"),AND(Y225="Alta",AA225="Moderado"),AND(Y225="Alta",AA225="Mayor"),AND(Y225="Muy Alta",AA225="Leve"),AND(Y225="Muy Alta",AA225="Menor"),AND(Y225="Muy Alta",AA225="Moderado"),AND(Y225="Muy Alta",AA225="Mayor")),"Alto",IF(OR(AND(Y225="Muy Baja",AA225="Catastrófico"),AND(Y225="Baja",AA225="Catastrófico"),AND(Y225="Media",AA225="Catastrófico"),AND(Y225="Alta",AA225="Catastrófico"),AND(Y225="Muy Alta",AA225="Catastrófico")),"Extremo","")))),"")</f>
        <v>Extremo</v>
      </c>
      <c r="AD225" s="140" t="s">
        <v>135</v>
      </c>
      <c r="AE225" s="132"/>
      <c r="AF225" s="133"/>
      <c r="AG225" s="134"/>
      <c r="AH225" s="134"/>
      <c r="AI225" s="132"/>
      <c r="AJ225" s="133"/>
    </row>
    <row r="226" spans="1:36" hidden="1" x14ac:dyDescent="0.3">
      <c r="A226" s="222"/>
      <c r="B226" s="224"/>
      <c r="C226" s="224"/>
      <c r="D226" s="224"/>
      <c r="E226" s="227"/>
      <c r="F226" s="224"/>
      <c r="G226" s="254"/>
      <c r="H226" s="242"/>
      <c r="I226" s="233"/>
      <c r="J226" s="236"/>
      <c r="K226" s="239">
        <f ca="1">IF(NOT(ISERROR(MATCH(J226,_xlfn.ANCHORARRAY(#REF!),0))),#REF!&amp;"Por favor no seleccionar los criterios de impacto",J226)</f>
        <v>0</v>
      </c>
      <c r="L226" s="242"/>
      <c r="M226" s="233"/>
      <c r="N226" s="230"/>
      <c r="O226" s="138">
        <v>3</v>
      </c>
      <c r="P226" s="135"/>
      <c r="Q226" s="124" t="str">
        <f>IF(OR(R226="Preventivo",R226="Detectivo"),"Probabilidad",IF(R226="Correctivo","Impacto",""))</f>
        <v/>
      </c>
      <c r="R226" s="125"/>
      <c r="S226" s="125"/>
      <c r="T226" s="126" t="str">
        <f t="shared" si="183"/>
        <v/>
      </c>
      <c r="U226" s="125"/>
      <c r="V226" s="125"/>
      <c r="W226" s="125"/>
      <c r="X226" s="127" t="str">
        <f>IFERROR(IF(AND(Q225="Probabilidad",Q226="Probabilidad"),(Z225-(+Z225*T226)),IF(AND(Q225="Impacto",Q226="Probabilidad"),(Z224-(+Z224*T226)),IF(Q226="Impacto",Z225,""))),"")</f>
        <v/>
      </c>
      <c r="Y226" s="128" t="str">
        <f t="shared" si="154"/>
        <v/>
      </c>
      <c r="Z226" s="129" t="str">
        <f t="shared" si="184"/>
        <v/>
      </c>
      <c r="AA226" s="128" t="str">
        <f t="shared" si="156"/>
        <v/>
      </c>
      <c r="AB226" s="137" t="str">
        <f>IFERROR(IF(AND(Q225="Impacto",Q226="Impacto"),(AB225-(+AB225*T226)),IF(AND(Q225="Probabilidad",Q226="Impacto"),(AB224-(+AB224*T226)),IF(Q226="Probabilidad",AB225,""))),"")</f>
        <v/>
      </c>
      <c r="AC226" s="130" t="str">
        <f t="shared" si="185"/>
        <v/>
      </c>
      <c r="AD226" s="131"/>
      <c r="AE226" s="132"/>
      <c r="AF226" s="133"/>
      <c r="AG226" s="134"/>
      <c r="AH226" s="134"/>
      <c r="AI226" s="132"/>
      <c r="AJ226" s="133"/>
    </row>
    <row r="227" spans="1:36" hidden="1" x14ac:dyDescent="0.3">
      <c r="A227" s="222"/>
      <c r="B227" s="224"/>
      <c r="C227" s="224"/>
      <c r="D227" s="224"/>
      <c r="E227" s="227"/>
      <c r="F227" s="224"/>
      <c r="G227" s="254"/>
      <c r="H227" s="242"/>
      <c r="I227" s="233"/>
      <c r="J227" s="236"/>
      <c r="K227" s="239">
        <f ca="1">IF(NOT(ISERROR(MATCH(J227,_xlfn.ANCHORARRAY(#REF!),0))),#REF!&amp;"Por favor no seleccionar los criterios de impacto",J227)</f>
        <v>0</v>
      </c>
      <c r="L227" s="242"/>
      <c r="M227" s="233"/>
      <c r="N227" s="230"/>
      <c r="O227" s="138">
        <v>4</v>
      </c>
      <c r="P227" s="123"/>
      <c r="Q227" s="124" t="str">
        <f t="shared" ref="Q227:Q229" si="186">IF(OR(R227="Preventivo",R227="Detectivo"),"Probabilidad",IF(R227="Correctivo","Impacto",""))</f>
        <v/>
      </c>
      <c r="R227" s="125"/>
      <c r="S227" s="125"/>
      <c r="T227" s="126" t="str">
        <f t="shared" si="183"/>
        <v/>
      </c>
      <c r="U227" s="125"/>
      <c r="V227" s="125"/>
      <c r="W227" s="125"/>
      <c r="X227" s="127" t="str">
        <f t="shared" ref="X227:X229" si="187">IFERROR(IF(AND(Q226="Probabilidad",Q227="Probabilidad"),(Z226-(+Z226*T227)),IF(AND(Q226="Impacto",Q227="Probabilidad"),(Z225-(+Z225*T227)),IF(Q227="Impacto",Z226,""))),"")</f>
        <v/>
      </c>
      <c r="Y227" s="128" t="str">
        <f t="shared" si="154"/>
        <v/>
      </c>
      <c r="Z227" s="129" t="str">
        <f t="shared" si="184"/>
        <v/>
      </c>
      <c r="AA227" s="128" t="str">
        <f t="shared" si="156"/>
        <v/>
      </c>
      <c r="AB227" s="137" t="str">
        <f t="shared" ref="AB227:AB229" si="188">IFERROR(IF(AND(Q226="Impacto",Q227="Impacto"),(AB226-(+AB226*T227)),IF(AND(Q226="Probabilidad",Q227="Impacto"),(AB225-(+AB225*T227)),IF(Q227="Probabilidad",AB226,""))),"")</f>
        <v/>
      </c>
      <c r="AC227" s="130" t="str">
        <f>IFERROR(IF(OR(AND(Y227="Muy Baja",AA227="Leve"),AND(Y227="Muy Baja",AA227="Menor"),AND(Y227="Baja",AA227="Leve")),"Bajo",IF(OR(AND(Y227="Muy baja",AA227="Moderado"),AND(Y227="Baja",AA227="Menor"),AND(Y227="Baja",AA227="Moderado"),AND(Y227="Media",AA227="Leve"),AND(Y227="Media",AA227="Menor"),AND(Y227="Media",AA227="Moderado"),AND(Y227="Alta",AA227="Leve"),AND(Y227="Alta",AA227="Menor")),"Moderado",IF(OR(AND(Y227="Muy Baja",AA227="Mayor"),AND(Y227="Baja",AA227="Mayor"),AND(Y227="Media",AA227="Mayor"),AND(Y227="Alta",AA227="Moderado"),AND(Y227="Alta",AA227="Mayor"),AND(Y227="Muy Alta",AA227="Leve"),AND(Y227="Muy Alta",AA227="Menor"),AND(Y227="Muy Alta",AA227="Moderado"),AND(Y227="Muy Alta",AA227="Mayor")),"Alto",IF(OR(AND(Y227="Muy Baja",AA227="Catastrófico"),AND(Y227="Baja",AA227="Catastrófico"),AND(Y227="Media",AA227="Catastrófico"),AND(Y227="Alta",AA227="Catastrófico"),AND(Y227="Muy Alta",AA227="Catastrófico")),"Extremo","")))),"")</f>
        <v/>
      </c>
      <c r="AD227" s="131"/>
      <c r="AE227" s="132"/>
      <c r="AF227" s="133"/>
      <c r="AG227" s="134"/>
      <c r="AH227" s="134"/>
      <c r="AI227" s="132"/>
      <c r="AJ227" s="133"/>
    </row>
    <row r="228" spans="1:36" hidden="1" x14ac:dyDescent="0.3">
      <c r="A228" s="222"/>
      <c r="B228" s="224"/>
      <c r="C228" s="224"/>
      <c r="D228" s="224"/>
      <c r="E228" s="227"/>
      <c r="F228" s="224"/>
      <c r="G228" s="254"/>
      <c r="H228" s="242"/>
      <c r="I228" s="233"/>
      <c r="J228" s="236"/>
      <c r="K228" s="239">
        <f ca="1">IF(NOT(ISERROR(MATCH(J228,_xlfn.ANCHORARRAY(#REF!),0))),#REF!&amp;"Por favor no seleccionar los criterios de impacto",J228)</f>
        <v>0</v>
      </c>
      <c r="L228" s="242"/>
      <c r="M228" s="233"/>
      <c r="N228" s="230"/>
      <c r="O228" s="138">
        <v>5</v>
      </c>
      <c r="P228" s="123"/>
      <c r="Q228" s="124" t="str">
        <f t="shared" si="186"/>
        <v/>
      </c>
      <c r="R228" s="125"/>
      <c r="S228" s="125"/>
      <c r="T228" s="126" t="str">
        <f t="shared" si="183"/>
        <v/>
      </c>
      <c r="U228" s="125"/>
      <c r="V228" s="125"/>
      <c r="W228" s="125"/>
      <c r="X228" s="127" t="str">
        <f t="shared" si="187"/>
        <v/>
      </c>
      <c r="Y228" s="128" t="str">
        <f t="shared" si="154"/>
        <v/>
      </c>
      <c r="Z228" s="129" t="str">
        <f t="shared" si="184"/>
        <v/>
      </c>
      <c r="AA228" s="128" t="str">
        <f t="shared" si="156"/>
        <v/>
      </c>
      <c r="AB228" s="137" t="str">
        <f t="shared" si="188"/>
        <v/>
      </c>
      <c r="AC228" s="130" t="str">
        <f t="shared" ref="AC228:AC229" si="189">IFERROR(IF(OR(AND(Y228="Muy Baja",AA228="Leve"),AND(Y228="Muy Baja",AA228="Menor"),AND(Y228="Baja",AA228="Leve")),"Bajo",IF(OR(AND(Y228="Muy baja",AA228="Moderado"),AND(Y228="Baja",AA228="Menor"),AND(Y228="Baja",AA228="Moderado"),AND(Y228="Media",AA228="Leve"),AND(Y228="Media",AA228="Menor"),AND(Y228="Media",AA228="Moderado"),AND(Y228="Alta",AA228="Leve"),AND(Y228="Alta",AA228="Menor")),"Moderado",IF(OR(AND(Y228="Muy Baja",AA228="Mayor"),AND(Y228="Baja",AA228="Mayor"),AND(Y228="Media",AA228="Mayor"),AND(Y228="Alta",AA228="Moderado"),AND(Y228="Alta",AA228="Mayor"),AND(Y228="Muy Alta",AA228="Leve"),AND(Y228="Muy Alta",AA228="Menor"),AND(Y228="Muy Alta",AA228="Moderado"),AND(Y228="Muy Alta",AA228="Mayor")),"Alto",IF(OR(AND(Y228="Muy Baja",AA228="Catastrófico"),AND(Y228="Baja",AA228="Catastrófico"),AND(Y228="Media",AA228="Catastrófico"),AND(Y228="Alta",AA228="Catastrófico"),AND(Y228="Muy Alta",AA228="Catastrófico")),"Extremo","")))),"")</f>
        <v/>
      </c>
      <c r="AD228" s="131"/>
      <c r="AE228" s="132"/>
      <c r="AF228" s="133"/>
      <c r="AG228" s="134"/>
      <c r="AH228" s="134"/>
      <c r="AI228" s="132"/>
      <c r="AJ228" s="133"/>
    </row>
    <row r="229" spans="1:36" hidden="1" x14ac:dyDescent="0.3">
      <c r="A229" s="211"/>
      <c r="B229" s="225"/>
      <c r="C229" s="225"/>
      <c r="D229" s="225"/>
      <c r="E229" s="228"/>
      <c r="F229" s="225"/>
      <c r="G229" s="255"/>
      <c r="H229" s="243"/>
      <c r="I229" s="234"/>
      <c r="J229" s="237"/>
      <c r="K229" s="240">
        <f ca="1">IF(NOT(ISERROR(MATCH(J229,_xlfn.ANCHORARRAY(#REF!),0))),#REF!&amp;"Por favor no seleccionar los criterios de impacto",J229)</f>
        <v>0</v>
      </c>
      <c r="L229" s="243"/>
      <c r="M229" s="234"/>
      <c r="N229" s="231"/>
      <c r="O229" s="138">
        <v>6</v>
      </c>
      <c r="P229" s="123"/>
      <c r="Q229" s="124" t="str">
        <f t="shared" si="186"/>
        <v/>
      </c>
      <c r="R229" s="125"/>
      <c r="S229" s="125"/>
      <c r="T229" s="126" t="str">
        <f t="shared" si="183"/>
        <v/>
      </c>
      <c r="U229" s="125"/>
      <c r="V229" s="125"/>
      <c r="W229" s="125"/>
      <c r="X229" s="127" t="str">
        <f t="shared" si="187"/>
        <v/>
      </c>
      <c r="Y229" s="128" t="str">
        <f t="shared" si="154"/>
        <v/>
      </c>
      <c r="Z229" s="129" t="str">
        <f t="shared" si="184"/>
        <v/>
      </c>
      <c r="AA229" s="128" t="str">
        <f t="shared" si="156"/>
        <v/>
      </c>
      <c r="AB229" s="137" t="str">
        <f t="shared" si="188"/>
        <v/>
      </c>
      <c r="AC229" s="130" t="str">
        <f t="shared" si="189"/>
        <v/>
      </c>
      <c r="AD229" s="131"/>
      <c r="AE229" s="132"/>
      <c r="AF229" s="133"/>
      <c r="AG229" s="134"/>
      <c r="AH229" s="134"/>
      <c r="AI229" s="132"/>
      <c r="AJ229" s="133"/>
    </row>
    <row r="230" spans="1:36" x14ac:dyDescent="0.3">
      <c r="A230" s="290" t="s">
        <v>316</v>
      </c>
      <c r="B230" s="291"/>
      <c r="C230" s="291"/>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291"/>
      <c r="AD230" s="291"/>
      <c r="AE230" s="291"/>
      <c r="AF230" s="291"/>
      <c r="AG230" s="291"/>
      <c r="AH230" s="291"/>
      <c r="AI230" s="291"/>
      <c r="AJ230" s="292"/>
    </row>
    <row r="231" spans="1:36" x14ac:dyDescent="0.3">
      <c r="A231" s="293"/>
      <c r="B231" s="294"/>
      <c r="C231" s="294"/>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295"/>
    </row>
    <row r="232" spans="1:36" ht="23.25" x14ac:dyDescent="0.3">
      <c r="A232" s="256" t="s">
        <v>43</v>
      </c>
      <c r="B232" s="257"/>
      <c r="C232" s="263" t="s">
        <v>317</v>
      </c>
      <c r="D232" s="264"/>
      <c r="E232" s="264"/>
      <c r="F232" s="264"/>
      <c r="G232" s="264"/>
      <c r="H232" s="264"/>
      <c r="I232" s="264"/>
      <c r="J232" s="264"/>
      <c r="K232" s="264"/>
      <c r="L232" s="264"/>
      <c r="M232" s="264"/>
      <c r="N232" s="265"/>
      <c r="O232" s="296"/>
      <c r="P232" s="296"/>
      <c r="Q232" s="296"/>
      <c r="R232" s="7"/>
      <c r="S232" s="7"/>
      <c r="T232" s="7"/>
      <c r="U232" s="7"/>
      <c r="V232" s="7"/>
      <c r="W232" s="7"/>
      <c r="X232" s="7"/>
      <c r="Y232" s="7"/>
      <c r="Z232" s="7"/>
      <c r="AA232" s="7"/>
      <c r="AB232" s="7"/>
      <c r="AC232" s="7"/>
      <c r="AD232" s="7"/>
      <c r="AE232" s="7"/>
      <c r="AF232" s="7"/>
      <c r="AG232" s="7"/>
      <c r="AH232" s="7"/>
      <c r="AI232" s="7"/>
      <c r="AJ232" s="7"/>
    </row>
    <row r="233" spans="1:36" ht="23.25" x14ac:dyDescent="0.3">
      <c r="A233" s="256" t="s">
        <v>130</v>
      </c>
      <c r="B233" s="257"/>
      <c r="C233" s="263" t="s">
        <v>318</v>
      </c>
      <c r="D233" s="264"/>
      <c r="E233" s="264"/>
      <c r="F233" s="264"/>
      <c r="G233" s="264"/>
      <c r="H233" s="264"/>
      <c r="I233" s="264"/>
      <c r="J233" s="264"/>
      <c r="K233" s="264"/>
      <c r="L233" s="264"/>
      <c r="M233" s="264"/>
      <c r="N233" s="265"/>
      <c r="O233" s="24"/>
      <c r="P233" s="7"/>
      <c r="Q233" s="7"/>
      <c r="R233" s="7"/>
      <c r="S233" s="7"/>
      <c r="T233" s="7"/>
      <c r="U233" s="7"/>
      <c r="V233" s="7"/>
      <c r="W233" s="7"/>
      <c r="X233" s="7"/>
      <c r="Y233" s="7"/>
      <c r="Z233" s="7"/>
      <c r="AA233" s="7"/>
      <c r="AB233" s="7"/>
      <c r="AC233" s="7"/>
      <c r="AD233" s="7"/>
      <c r="AE233" s="7"/>
      <c r="AF233" s="7"/>
      <c r="AG233" s="7"/>
      <c r="AH233" s="7"/>
      <c r="AI233" s="7"/>
      <c r="AJ233" s="7"/>
    </row>
    <row r="234" spans="1:36" ht="23.25" x14ac:dyDescent="0.3">
      <c r="A234" s="256" t="s">
        <v>44</v>
      </c>
      <c r="B234" s="257"/>
      <c r="C234" s="266" t="s">
        <v>292</v>
      </c>
      <c r="D234" s="267"/>
      <c r="E234" s="267"/>
      <c r="F234" s="267"/>
      <c r="G234" s="267"/>
      <c r="H234" s="267"/>
      <c r="I234" s="267"/>
      <c r="J234" s="267"/>
      <c r="K234" s="267"/>
      <c r="L234" s="267"/>
      <c r="M234" s="267"/>
      <c r="N234" s="268"/>
      <c r="O234" s="24"/>
      <c r="P234" s="7"/>
      <c r="Q234" s="7"/>
      <c r="R234" s="7"/>
      <c r="S234" s="7"/>
      <c r="T234" s="7"/>
      <c r="U234" s="7"/>
      <c r="V234" s="7"/>
      <c r="W234" s="7"/>
      <c r="X234" s="7"/>
      <c r="Y234" s="7"/>
      <c r="Z234" s="7"/>
      <c r="AA234" s="7"/>
      <c r="AB234" s="7"/>
      <c r="AC234" s="7"/>
      <c r="AD234" s="7"/>
      <c r="AE234" s="7"/>
      <c r="AF234" s="7"/>
      <c r="AG234" s="7"/>
      <c r="AH234" s="7"/>
      <c r="AI234" s="7"/>
      <c r="AJ234" s="7"/>
    </row>
    <row r="235" spans="1:36" x14ac:dyDescent="0.3">
      <c r="A235" s="297" t="s">
        <v>138</v>
      </c>
      <c r="B235" s="298"/>
      <c r="C235" s="298"/>
      <c r="D235" s="298"/>
      <c r="E235" s="298"/>
      <c r="F235" s="298"/>
      <c r="G235" s="299"/>
      <c r="H235" s="297" t="s">
        <v>139</v>
      </c>
      <c r="I235" s="298"/>
      <c r="J235" s="298"/>
      <c r="K235" s="298"/>
      <c r="L235" s="298"/>
      <c r="M235" s="298"/>
      <c r="N235" s="299"/>
      <c r="O235" s="297" t="s">
        <v>140</v>
      </c>
      <c r="P235" s="298"/>
      <c r="Q235" s="298"/>
      <c r="R235" s="298"/>
      <c r="S235" s="298"/>
      <c r="T235" s="298"/>
      <c r="U235" s="298"/>
      <c r="V235" s="298"/>
      <c r="W235" s="299"/>
      <c r="X235" s="297" t="s">
        <v>141</v>
      </c>
      <c r="Y235" s="298"/>
      <c r="Z235" s="298"/>
      <c r="AA235" s="298"/>
      <c r="AB235" s="298"/>
      <c r="AC235" s="298"/>
      <c r="AD235" s="299"/>
      <c r="AE235" s="297" t="s">
        <v>34</v>
      </c>
      <c r="AF235" s="298"/>
      <c r="AG235" s="298"/>
      <c r="AH235" s="298"/>
      <c r="AI235" s="298"/>
      <c r="AJ235" s="299"/>
    </row>
    <row r="236" spans="1:36" x14ac:dyDescent="0.3">
      <c r="A236" s="258" t="s">
        <v>0</v>
      </c>
      <c r="B236" s="251" t="s">
        <v>2</v>
      </c>
      <c r="C236" s="245" t="s">
        <v>3</v>
      </c>
      <c r="D236" s="245" t="s">
        <v>42</v>
      </c>
      <c r="E236" s="260" t="s">
        <v>1</v>
      </c>
      <c r="F236" s="252" t="s">
        <v>50</v>
      </c>
      <c r="G236" s="245" t="s">
        <v>134</v>
      </c>
      <c r="H236" s="247" t="s">
        <v>33</v>
      </c>
      <c r="I236" s="248" t="s">
        <v>5</v>
      </c>
      <c r="J236" s="252" t="s">
        <v>87</v>
      </c>
      <c r="K236" s="252" t="s">
        <v>92</v>
      </c>
      <c r="L236" s="250" t="s">
        <v>45</v>
      </c>
      <c r="M236" s="248" t="s">
        <v>5</v>
      </c>
      <c r="N236" s="245" t="s">
        <v>48</v>
      </c>
      <c r="O236" s="261" t="s">
        <v>11</v>
      </c>
      <c r="P236" s="246" t="s">
        <v>160</v>
      </c>
      <c r="Q236" s="252" t="s">
        <v>12</v>
      </c>
      <c r="R236" s="246" t="s">
        <v>8</v>
      </c>
      <c r="S236" s="246"/>
      <c r="T236" s="246"/>
      <c r="U236" s="246"/>
      <c r="V236" s="246"/>
      <c r="W236" s="246"/>
      <c r="X236" s="244" t="s">
        <v>137</v>
      </c>
      <c r="Y236" s="244" t="s">
        <v>46</v>
      </c>
      <c r="Z236" s="244" t="s">
        <v>5</v>
      </c>
      <c r="AA236" s="244" t="s">
        <v>47</v>
      </c>
      <c r="AB236" s="244" t="s">
        <v>5</v>
      </c>
      <c r="AC236" s="244" t="s">
        <v>49</v>
      </c>
      <c r="AD236" s="261" t="s">
        <v>29</v>
      </c>
      <c r="AE236" s="246" t="s">
        <v>34</v>
      </c>
      <c r="AF236" s="246" t="s">
        <v>35</v>
      </c>
      <c r="AG236" s="246" t="s">
        <v>36</v>
      </c>
      <c r="AH236" s="246" t="s">
        <v>38</v>
      </c>
      <c r="AI236" s="246" t="s">
        <v>37</v>
      </c>
      <c r="AJ236" s="246" t="s">
        <v>39</v>
      </c>
    </row>
    <row r="237" spans="1:36" ht="78.75" x14ac:dyDescent="0.3">
      <c r="A237" s="259"/>
      <c r="B237" s="251"/>
      <c r="C237" s="246"/>
      <c r="D237" s="246"/>
      <c r="E237" s="251"/>
      <c r="F237" s="245"/>
      <c r="G237" s="246"/>
      <c r="H237" s="245"/>
      <c r="I237" s="249"/>
      <c r="J237" s="245"/>
      <c r="K237" s="245"/>
      <c r="L237" s="249"/>
      <c r="M237" s="249"/>
      <c r="N237" s="246"/>
      <c r="O237" s="262"/>
      <c r="P237" s="246"/>
      <c r="Q237" s="245"/>
      <c r="R237" s="6" t="s">
        <v>13</v>
      </c>
      <c r="S237" s="6" t="s">
        <v>17</v>
      </c>
      <c r="T237" s="6" t="s">
        <v>28</v>
      </c>
      <c r="U237" s="6" t="s">
        <v>18</v>
      </c>
      <c r="V237" s="6" t="s">
        <v>21</v>
      </c>
      <c r="W237" s="6" t="s">
        <v>24</v>
      </c>
      <c r="X237" s="244"/>
      <c r="Y237" s="244"/>
      <c r="Z237" s="244"/>
      <c r="AA237" s="244"/>
      <c r="AB237" s="244"/>
      <c r="AC237" s="244"/>
      <c r="AD237" s="262"/>
      <c r="AE237" s="246"/>
      <c r="AF237" s="246"/>
      <c r="AG237" s="246"/>
      <c r="AH237" s="246"/>
      <c r="AI237" s="246"/>
      <c r="AJ237" s="246"/>
    </row>
    <row r="238" spans="1:36" x14ac:dyDescent="0.3">
      <c r="A238" s="210">
        <v>1</v>
      </c>
      <c r="B238" s="223" t="s">
        <v>133</v>
      </c>
      <c r="C238" s="223" t="s">
        <v>319</v>
      </c>
      <c r="D238" s="223" t="s">
        <v>320</v>
      </c>
      <c r="E238" s="226" t="s">
        <v>321</v>
      </c>
      <c r="F238" s="223" t="s">
        <v>123</v>
      </c>
      <c r="G238" s="253">
        <v>5556</v>
      </c>
      <c r="H238" s="241" t="str">
        <f>IF(G238&lt;=0,"",IF(G238&lt;=2,"Muy Baja",IF(G238&lt;=24,"Baja",IF(G238&lt;=500,"Media",IF(G238&lt;=5000,"Alta","Muy Alta")))))</f>
        <v>Muy Alta</v>
      </c>
      <c r="I238" s="232">
        <f>IF(H238="","",IF(H238="Muy Baja",0.2,IF(H238="Baja",0.4,IF(H238="Media",0.6,IF(H238="Alta",0.8,IF(H238="Muy Alta",1,))))))</f>
        <v>1</v>
      </c>
      <c r="J238" s="235" t="s">
        <v>143</v>
      </c>
      <c r="K238" s="238" t="str">
        <f>IF(NOT(ISERROR(MATCH(J238,'[8]Tabla Impacto'!$B$221:$B$223,0))),'[8]Tabla Impacto'!$F$223&amp;"Por favor no seleccionar los criterios de impacto(Afectación Económica o presupuestal y Pérdida Reputacional)",J238)</f>
        <v xml:space="preserve">     Afectación menor a 10 SMLMV .</v>
      </c>
      <c r="L238" s="241" t="str">
        <f>IF(OR(K238='[8]Tabla Impacto'!$C$11,K238='[8]Tabla Impacto'!$D$11),"Leve",IF(OR(K238='[8]Tabla Impacto'!$C$12,K238='[8]Tabla Impacto'!$D$12),"Menor",IF(OR(K238='[8]Tabla Impacto'!$C$13,K238='[8]Tabla Impacto'!$D$13),"Moderado",IF(OR(K238='[8]Tabla Impacto'!$C$14,K238='[8]Tabla Impacto'!$D$14),"Mayor",IF(OR(K238='[8]Tabla Impacto'!$C$15,K238='[8]Tabla Impacto'!$D$15),"Catastrófico","")))))</f>
        <v>Leve</v>
      </c>
      <c r="M238" s="232">
        <f>IF(L238="","",IF(L238="Leve",0.2,IF(L238="Menor",0.4,IF(L238="Moderado",0.6,IF(L238="Mayor",0.8,IF(L238="Catastrófico",1,))))))</f>
        <v>0.2</v>
      </c>
      <c r="N238" s="229" t="str">
        <f>IF(OR(AND(H238="Muy Baja",L238="Leve"),AND(H238="Muy Baja",L238="Menor"),AND(H238="Baja",L238="Leve")),"Bajo",IF(OR(AND(H238="Muy baja",L238="Moderado"),AND(H238="Baja",L238="Menor"),AND(H238="Baja",L238="Moderado"),AND(H238="Media",L238="Leve"),AND(H238="Media",L238="Menor"),AND(H238="Media",L238="Moderado"),AND(H238="Alta",L238="Leve"),AND(H238="Alta",L238="Menor")),"Moderado",IF(OR(AND(H238="Muy Baja",L238="Mayor"),AND(H238="Baja",L238="Mayor"),AND(H238="Media",L238="Mayor"),AND(H238="Alta",L238="Moderado"),AND(H238="Alta",L238="Mayor"),AND(H238="Muy Alta",L238="Leve"),AND(H238="Muy Alta",L238="Menor"),AND(H238="Muy Alta",L238="Moderado"),AND(H238="Muy Alta",L238="Mayor")),"Alto",IF(OR(AND(H238="Muy Baja",L238="Catastrófico"),AND(H238="Baja",L238="Catastrófico"),AND(H238="Media",L238="Catastrófico"),AND(H238="Alta",L238="Catastrófico"),AND(H238="Muy Alta",L238="Catastrófico")),"Extremo",""))))</f>
        <v>Alto</v>
      </c>
      <c r="O238" s="138">
        <v>1</v>
      </c>
      <c r="P238" s="218" t="s">
        <v>322</v>
      </c>
      <c r="Q238" s="220" t="str">
        <f>IF(OR(R238="Preventivo",R238="Detectivo"),"Probabilidad",IF(R238="Correctivo","Impacto",""))</f>
        <v>Probabilidad</v>
      </c>
      <c r="R238" s="202" t="s">
        <v>14</v>
      </c>
      <c r="S238" s="202" t="s">
        <v>9</v>
      </c>
      <c r="T238" s="200" t="str">
        <f>IF(AND(R238="Preventivo",S238="Automático"),"50%",IF(AND(R238="Preventivo",S238="Manual"),"40%",IF(AND(R238="Detectivo",S238="Automático"),"40%",IF(AND(R238="Detectivo",S238="Manual"),"30%",IF(AND(R238="Correctivo",S238="Automático"),"35%",IF(AND(R238="Correctivo",S238="Manual"),"25%",""))))))</f>
        <v>40%</v>
      </c>
      <c r="U238" s="202" t="s">
        <v>19</v>
      </c>
      <c r="V238" s="202" t="s">
        <v>22</v>
      </c>
      <c r="W238" s="202" t="s">
        <v>119</v>
      </c>
      <c r="X238" s="139">
        <f>IFERROR(IF(Q238="Probabilidad",(I238-(+I238*T238)),IF(Q238="Impacto",I238,"")),"")</f>
        <v>0.6</v>
      </c>
      <c r="Y238" s="204" t="str">
        <f>IFERROR(IF(X238="","",IF(X238&lt;=0.2,"Muy Baja",IF(X238&lt;=0.4,"Baja",IF(X238&lt;=0.6,"Media",IF(X238&lt;=0.8,"Alta","Muy Alta"))))),"")</f>
        <v>Media</v>
      </c>
      <c r="Z238" s="200">
        <f>+X238</f>
        <v>0.6</v>
      </c>
      <c r="AA238" s="204" t="str">
        <f>IFERROR(IF(AB238="","",IF(AB238&lt;=0.2,"Leve",IF(AB238&lt;=0.4,"Menor",IF(AB238&lt;=0.6,"Moderado",IF(AB238&lt;=0.8,"Mayor","Catastrófico"))))),"")</f>
        <v>Leve</v>
      </c>
      <c r="AB238" s="200">
        <f>IFERROR(IF(Q238="Impacto",(M238-(+M238*T238)),IF(Q238="Probabilidad",M238,"")),"")</f>
        <v>0.2</v>
      </c>
      <c r="AC238" s="208" t="str">
        <f>IFERROR(IF(OR(AND(Y238="Muy Baja",AA238="Leve"),AND(Y238="Muy Baja",AA238="Menor"),AND(Y238="Baja",AA238="Leve")),"Bajo",IF(OR(AND(Y238="Muy baja",AA238="Moderado"),AND(Y238="Baja",AA238="Menor"),AND(Y238="Baja",AA238="Moderado"),AND(Y238="Media",AA238="Leve"),AND(Y238="Media",AA238="Menor"),AND(Y238="Media",AA238="Moderado"),AND(Y238="Alta",AA238="Leve"),AND(Y238="Alta",AA238="Menor")),"Moderado",IF(OR(AND(Y238="Muy Baja",AA238="Mayor"),AND(Y238="Baja",AA238="Mayor"),AND(Y238="Media",AA238="Mayor"),AND(Y238="Alta",AA238="Moderado"),AND(Y238="Alta",AA238="Mayor"),AND(Y238="Muy Alta",AA238="Leve"),AND(Y238="Muy Alta",AA238="Menor"),AND(Y238="Muy Alta",AA238="Moderado"),AND(Y238="Muy Alta",AA238="Mayor")),"Alto",IF(OR(AND(Y238="Muy Baja",AA238="Catastrófico"),AND(Y238="Baja",AA238="Catastrófico"),AND(Y238="Media",AA238="Catastrófico"),AND(Y238="Alta",AA238="Catastrófico"),AND(Y238="Muy Alta",AA238="Catastrófico")),"Extremo","")))),"")</f>
        <v>Moderado</v>
      </c>
      <c r="AD238" s="202" t="s">
        <v>135</v>
      </c>
      <c r="AE238" s="212"/>
      <c r="AF238" s="214"/>
      <c r="AG238" s="216"/>
      <c r="AH238" s="216"/>
      <c r="AI238" s="212"/>
      <c r="AJ238" s="214"/>
    </row>
    <row r="239" spans="1:36" ht="94.5" customHeight="1" x14ac:dyDescent="0.3">
      <c r="A239" s="222"/>
      <c r="B239" s="224"/>
      <c r="C239" s="224"/>
      <c r="D239" s="224"/>
      <c r="E239" s="227"/>
      <c r="F239" s="224"/>
      <c r="G239" s="254"/>
      <c r="H239" s="242"/>
      <c r="I239" s="233"/>
      <c r="J239" s="236"/>
      <c r="K239" s="239">
        <f ca="1">IF(NOT(ISERROR(MATCH(J239,_xlfn.ANCHORARRAY(E250),0))),I252&amp;"Por favor no seleccionar los criterios de impacto",J239)</f>
        <v>0</v>
      </c>
      <c r="L239" s="242"/>
      <c r="M239" s="233"/>
      <c r="N239" s="230"/>
      <c r="O239" s="138">
        <v>2</v>
      </c>
      <c r="P239" s="219"/>
      <c r="Q239" s="221"/>
      <c r="R239" s="203"/>
      <c r="S239" s="203"/>
      <c r="T239" s="201"/>
      <c r="U239" s="203"/>
      <c r="V239" s="203"/>
      <c r="W239" s="203"/>
      <c r="X239" s="127" t="str">
        <f>IFERROR(IF(AND(Q238="Probabilidad",Q239="Probabilidad"),(Z238-(+Z238*T239)),IF(Q239="Probabilidad",(I238-(+I238*T239)),IF(Q239="Impacto",Z238,""))),"")</f>
        <v/>
      </c>
      <c r="Y239" s="205"/>
      <c r="Z239" s="201"/>
      <c r="AA239" s="205"/>
      <c r="AB239" s="201"/>
      <c r="AC239" s="209"/>
      <c r="AD239" s="203"/>
      <c r="AE239" s="213"/>
      <c r="AF239" s="215"/>
      <c r="AG239" s="217"/>
      <c r="AH239" s="217"/>
      <c r="AI239" s="213"/>
      <c r="AJ239" s="215"/>
    </row>
    <row r="240" spans="1:36" hidden="1" x14ac:dyDescent="0.3">
      <c r="A240" s="222"/>
      <c r="B240" s="224"/>
      <c r="C240" s="224"/>
      <c r="D240" s="224"/>
      <c r="E240" s="227"/>
      <c r="F240" s="224"/>
      <c r="G240" s="254"/>
      <c r="H240" s="242"/>
      <c r="I240" s="233"/>
      <c r="J240" s="236"/>
      <c r="K240" s="239">
        <f ca="1">IF(NOT(ISERROR(MATCH(J240,_xlfn.ANCHORARRAY(E251),0))),I253&amp;"Por favor no seleccionar los criterios de impacto",J240)</f>
        <v>0</v>
      </c>
      <c r="L240" s="242"/>
      <c r="M240" s="233"/>
      <c r="N240" s="230"/>
      <c r="O240" s="138">
        <v>3</v>
      </c>
      <c r="P240" s="135"/>
      <c r="Q240" s="124" t="str">
        <f>IF(OR(R240="Preventivo",R240="Detectivo"),"Probabilidad",IF(R240="Correctivo","Impacto",""))</f>
        <v/>
      </c>
      <c r="R240" s="125"/>
      <c r="S240" s="125"/>
      <c r="T240" s="126" t="str">
        <f t="shared" ref="T240:T243" si="190">IF(AND(R240="Preventivo",S240="Automático"),"50%",IF(AND(R240="Preventivo",S240="Manual"),"40%",IF(AND(R240="Detectivo",S240="Automático"),"40%",IF(AND(R240="Detectivo",S240="Manual"),"30%",IF(AND(R240="Correctivo",S240="Automático"),"35%",IF(AND(R240="Correctivo",S240="Manual"),"25%",""))))))</f>
        <v/>
      </c>
      <c r="U240" s="125"/>
      <c r="V240" s="125"/>
      <c r="W240" s="125"/>
      <c r="X240" s="127" t="str">
        <f>IFERROR(IF(AND(Q239="Probabilidad",Q240="Probabilidad"),(Z239-(+Z239*T240)),IF(AND(Q239="Impacto",Q240="Probabilidad"),(Z238-(+Z238*T240)),IF(Q240="Impacto",Z239,""))),"")</f>
        <v/>
      </c>
      <c r="Y240" s="128" t="str">
        <f t="shared" ref="Y240:Y267" si="191">IFERROR(IF(X240="","",IF(X240&lt;=0.2,"Muy Baja",IF(X240&lt;=0.4,"Baja",IF(X240&lt;=0.6,"Media",IF(X240&lt;=0.8,"Alta","Muy Alta"))))),"")</f>
        <v/>
      </c>
      <c r="Z240" s="129" t="str">
        <f t="shared" ref="Z240:Z243" si="192">+X240</f>
        <v/>
      </c>
      <c r="AA240" s="128" t="str">
        <f t="shared" ref="AA240:AA267" si="193">IFERROR(IF(AB240="","",IF(AB240&lt;=0.2,"Leve",IF(AB240&lt;=0.4,"Menor",IF(AB240&lt;=0.6,"Moderado",IF(AB240&lt;=0.8,"Mayor","Catastrófico"))))),"")</f>
        <v/>
      </c>
      <c r="AB240" s="137" t="str">
        <f>IFERROR(IF(AND(Q239="Impacto",Q240="Impacto"),(AB239-(+AB239*T240)),IF(AND(Q239="Probabilidad",Q240="Impacto"),(AB238-(+AB238*T240)),IF(Q240="Probabilidad",AB239,""))),"")</f>
        <v/>
      </c>
      <c r="AC240" s="130" t="str">
        <f t="shared" ref="AC240:AC243" si="194">IFERROR(IF(OR(AND(Y240="Muy Baja",AA240="Leve"),AND(Y240="Muy Baja",AA240="Menor"),AND(Y240="Baja",AA240="Leve")),"Bajo",IF(OR(AND(Y240="Muy baja",AA240="Moderado"),AND(Y240="Baja",AA240="Menor"),AND(Y240="Baja",AA240="Moderado"),AND(Y240="Media",AA240="Leve"),AND(Y240="Media",AA240="Menor"),AND(Y240="Media",AA240="Moderado"),AND(Y240="Alta",AA240="Leve"),AND(Y240="Alta",AA240="Menor")),"Moderado",IF(OR(AND(Y240="Muy Baja",AA240="Mayor"),AND(Y240="Baja",AA240="Mayor"),AND(Y240="Media",AA240="Mayor"),AND(Y240="Alta",AA240="Moderado"),AND(Y240="Alta",AA240="Mayor"),AND(Y240="Muy Alta",AA240="Leve"),AND(Y240="Muy Alta",AA240="Menor"),AND(Y240="Muy Alta",AA240="Moderado"),AND(Y240="Muy Alta",AA240="Mayor")),"Alto",IF(OR(AND(Y240="Muy Baja",AA240="Catastrófico"),AND(Y240="Baja",AA240="Catastrófico"),AND(Y240="Media",AA240="Catastrófico"),AND(Y240="Alta",AA240="Catastrófico"),AND(Y240="Muy Alta",AA240="Catastrófico")),"Extremo","")))),"")</f>
        <v/>
      </c>
      <c r="AD240" s="131"/>
      <c r="AE240" s="132"/>
      <c r="AF240" s="133"/>
      <c r="AG240" s="134"/>
      <c r="AH240" s="134"/>
      <c r="AI240" s="132"/>
      <c r="AJ240" s="133"/>
    </row>
    <row r="241" spans="1:36" hidden="1" x14ac:dyDescent="0.3">
      <c r="A241" s="222"/>
      <c r="B241" s="224"/>
      <c r="C241" s="224"/>
      <c r="D241" s="224"/>
      <c r="E241" s="227"/>
      <c r="F241" s="224"/>
      <c r="G241" s="254"/>
      <c r="H241" s="242"/>
      <c r="I241" s="233"/>
      <c r="J241" s="236"/>
      <c r="K241" s="239">
        <f ca="1">IF(NOT(ISERROR(MATCH(J241,_xlfn.ANCHORARRAY(E252),0))),I254&amp;"Por favor no seleccionar los criterios de impacto",J241)</f>
        <v>0</v>
      </c>
      <c r="L241" s="242"/>
      <c r="M241" s="233"/>
      <c r="N241" s="230"/>
      <c r="O241" s="138">
        <v>4</v>
      </c>
      <c r="P241" s="123"/>
      <c r="Q241" s="124" t="str">
        <f t="shared" ref="Q241:Q243" si="195">IF(OR(R241="Preventivo",R241="Detectivo"),"Probabilidad",IF(R241="Correctivo","Impacto",""))</f>
        <v/>
      </c>
      <c r="R241" s="125"/>
      <c r="S241" s="125"/>
      <c r="T241" s="126" t="str">
        <f t="shared" si="190"/>
        <v/>
      </c>
      <c r="U241" s="125"/>
      <c r="V241" s="125"/>
      <c r="W241" s="125"/>
      <c r="X241" s="127" t="str">
        <f t="shared" ref="X241:X243" si="196">IFERROR(IF(AND(Q240="Probabilidad",Q241="Probabilidad"),(Z240-(+Z240*T241)),IF(AND(Q240="Impacto",Q241="Probabilidad"),(Z239-(+Z239*T241)),IF(Q241="Impacto",Z240,""))),"")</f>
        <v/>
      </c>
      <c r="Y241" s="128" t="str">
        <f t="shared" si="191"/>
        <v/>
      </c>
      <c r="Z241" s="129" t="str">
        <f t="shared" si="192"/>
        <v/>
      </c>
      <c r="AA241" s="128" t="str">
        <f t="shared" si="193"/>
        <v/>
      </c>
      <c r="AB241" s="137" t="str">
        <f t="shared" ref="AB241:AB243" si="197">IFERROR(IF(AND(Q240="Impacto",Q241="Impacto"),(AB240-(+AB240*T241)),IF(AND(Q240="Probabilidad",Q241="Impacto"),(AB239-(+AB239*T241)),IF(Q241="Probabilidad",AB240,""))),"")</f>
        <v/>
      </c>
      <c r="AC241" s="130" t="str">
        <f>IFERROR(IF(OR(AND(Y241="Muy Baja",AA241="Leve"),AND(Y241="Muy Baja",AA241="Menor"),AND(Y241="Baja",AA241="Leve")),"Bajo",IF(OR(AND(Y241="Muy baja",AA241="Moderado"),AND(Y241="Baja",AA241="Menor"),AND(Y241="Baja",AA241="Moderado"),AND(Y241="Media",AA241="Leve"),AND(Y241="Media",AA241="Menor"),AND(Y241="Media",AA241="Moderado"),AND(Y241="Alta",AA241="Leve"),AND(Y241="Alta",AA241="Menor")),"Moderado",IF(OR(AND(Y241="Muy Baja",AA241="Mayor"),AND(Y241="Baja",AA241="Mayor"),AND(Y241="Media",AA241="Mayor"),AND(Y241="Alta",AA241="Moderado"),AND(Y241="Alta",AA241="Mayor"),AND(Y241="Muy Alta",AA241="Leve"),AND(Y241="Muy Alta",AA241="Menor"),AND(Y241="Muy Alta",AA241="Moderado"),AND(Y241="Muy Alta",AA241="Mayor")),"Alto",IF(OR(AND(Y241="Muy Baja",AA241="Catastrófico"),AND(Y241="Baja",AA241="Catastrófico"),AND(Y241="Media",AA241="Catastrófico"),AND(Y241="Alta",AA241="Catastrófico"),AND(Y241="Muy Alta",AA241="Catastrófico")),"Extremo","")))),"")</f>
        <v/>
      </c>
      <c r="AD241" s="131"/>
      <c r="AE241" s="132"/>
      <c r="AF241" s="133"/>
      <c r="AG241" s="134"/>
      <c r="AH241" s="134"/>
      <c r="AI241" s="132"/>
      <c r="AJ241" s="133"/>
    </row>
    <row r="242" spans="1:36" hidden="1" x14ac:dyDescent="0.3">
      <c r="A242" s="222"/>
      <c r="B242" s="224"/>
      <c r="C242" s="224"/>
      <c r="D242" s="224"/>
      <c r="E242" s="227"/>
      <c r="F242" s="224"/>
      <c r="G242" s="254"/>
      <c r="H242" s="242"/>
      <c r="I242" s="233"/>
      <c r="J242" s="236"/>
      <c r="K242" s="239">
        <f ca="1">IF(NOT(ISERROR(MATCH(J242,_xlfn.ANCHORARRAY(E253),0))),I255&amp;"Por favor no seleccionar los criterios de impacto",J242)</f>
        <v>0</v>
      </c>
      <c r="L242" s="242"/>
      <c r="M242" s="233"/>
      <c r="N242" s="230"/>
      <c r="O242" s="138">
        <v>5</v>
      </c>
      <c r="P242" s="123"/>
      <c r="Q242" s="124" t="str">
        <f t="shared" si="195"/>
        <v/>
      </c>
      <c r="R242" s="125"/>
      <c r="S242" s="125"/>
      <c r="T242" s="126" t="str">
        <f t="shared" si="190"/>
        <v/>
      </c>
      <c r="U242" s="125"/>
      <c r="V242" s="125"/>
      <c r="W242" s="125"/>
      <c r="X242" s="127" t="str">
        <f t="shared" si="196"/>
        <v/>
      </c>
      <c r="Y242" s="128" t="str">
        <f t="shared" si="191"/>
        <v/>
      </c>
      <c r="Z242" s="129" t="str">
        <f t="shared" si="192"/>
        <v/>
      </c>
      <c r="AA242" s="128" t="str">
        <f t="shared" si="193"/>
        <v/>
      </c>
      <c r="AB242" s="137" t="str">
        <f t="shared" si="197"/>
        <v/>
      </c>
      <c r="AC242" s="130" t="str">
        <f t="shared" si="194"/>
        <v/>
      </c>
      <c r="AD242" s="131"/>
      <c r="AE242" s="132"/>
      <c r="AF242" s="133"/>
      <c r="AG242" s="134"/>
      <c r="AH242" s="134"/>
      <c r="AI242" s="132"/>
      <c r="AJ242" s="133"/>
    </row>
    <row r="243" spans="1:36" hidden="1" x14ac:dyDescent="0.3">
      <c r="A243" s="211"/>
      <c r="B243" s="225"/>
      <c r="C243" s="225"/>
      <c r="D243" s="225"/>
      <c r="E243" s="228"/>
      <c r="F243" s="225"/>
      <c r="G243" s="255"/>
      <c r="H243" s="243"/>
      <c r="I243" s="234"/>
      <c r="J243" s="237"/>
      <c r="K243" s="240">
        <f ca="1">IF(NOT(ISERROR(MATCH(J243,_xlfn.ANCHORARRAY(E254),0))),I256&amp;"Por favor no seleccionar los criterios de impacto",J243)</f>
        <v>0</v>
      </c>
      <c r="L243" s="243"/>
      <c r="M243" s="234"/>
      <c r="N243" s="231"/>
      <c r="O243" s="138">
        <v>6</v>
      </c>
      <c r="P243" s="123"/>
      <c r="Q243" s="124" t="str">
        <f t="shared" si="195"/>
        <v/>
      </c>
      <c r="R243" s="125"/>
      <c r="S243" s="125"/>
      <c r="T243" s="126" t="str">
        <f t="shared" si="190"/>
        <v/>
      </c>
      <c r="U243" s="125"/>
      <c r="V243" s="125"/>
      <c r="W243" s="125"/>
      <c r="X243" s="127" t="str">
        <f t="shared" si="196"/>
        <v/>
      </c>
      <c r="Y243" s="128" t="str">
        <f t="shared" si="191"/>
        <v/>
      </c>
      <c r="Z243" s="129" t="str">
        <f t="shared" si="192"/>
        <v/>
      </c>
      <c r="AA243" s="128" t="str">
        <f t="shared" si="193"/>
        <v/>
      </c>
      <c r="AB243" s="137" t="str">
        <f t="shared" si="197"/>
        <v/>
      </c>
      <c r="AC243" s="130" t="str">
        <f t="shared" si="194"/>
        <v/>
      </c>
      <c r="AD243" s="131"/>
      <c r="AE243" s="132"/>
      <c r="AF243" s="133"/>
      <c r="AG243" s="134"/>
      <c r="AH243" s="134"/>
      <c r="AI243" s="132"/>
      <c r="AJ243" s="133"/>
    </row>
    <row r="244" spans="1:36" x14ac:dyDescent="0.3">
      <c r="A244" s="210">
        <v>2</v>
      </c>
      <c r="B244" s="223" t="s">
        <v>133</v>
      </c>
      <c r="C244" s="223" t="s">
        <v>323</v>
      </c>
      <c r="D244" s="223" t="s">
        <v>324</v>
      </c>
      <c r="E244" s="226" t="s">
        <v>325</v>
      </c>
      <c r="F244" s="223" t="s">
        <v>123</v>
      </c>
      <c r="G244" s="253">
        <v>5556</v>
      </c>
      <c r="H244" s="241" t="str">
        <f>IF(G244&lt;=0,"",IF(G244&lt;=2,"Muy Baja",IF(G244&lt;=24,"Baja",IF(G244&lt;=500,"Media",IF(G244&lt;=5000,"Alta","Muy Alta")))))</f>
        <v>Muy Alta</v>
      </c>
      <c r="I244" s="232">
        <f>IF(H244="","",IF(H244="Muy Baja",0.2,IF(H244="Baja",0.4,IF(H244="Media",0.6,IF(H244="Alta",0.8,IF(H244="Muy Alta",1,))))))</f>
        <v>1</v>
      </c>
      <c r="J244" s="235" t="s">
        <v>143</v>
      </c>
      <c r="K244" s="238" t="str">
        <f>IF(NOT(ISERROR(MATCH(J244,'[8]Tabla Impacto'!$B$221:$B$223,0))),'[8]Tabla Impacto'!$F$223&amp;"Por favor no seleccionar los criterios de impacto(Afectación Económica o presupuestal y Pérdida Reputacional)",J244)</f>
        <v xml:space="preserve">     Afectación menor a 10 SMLMV .</v>
      </c>
      <c r="L244" s="241" t="str">
        <f>IF(OR(K244='[8]Tabla Impacto'!$C$11,K244='[8]Tabla Impacto'!$D$11),"Leve",IF(OR(K244='[8]Tabla Impacto'!$C$12,K244='[8]Tabla Impacto'!$D$12),"Menor",IF(OR(K244='[8]Tabla Impacto'!$C$13,K244='[8]Tabla Impacto'!$D$13),"Moderado",IF(OR(K244='[8]Tabla Impacto'!$C$14,K244='[8]Tabla Impacto'!$D$14),"Mayor",IF(OR(K244='[8]Tabla Impacto'!$C$15,K244='[8]Tabla Impacto'!$D$15),"Catastrófico","")))))</f>
        <v>Leve</v>
      </c>
      <c r="M244" s="232">
        <f>IF(L244="","",IF(L244="Leve",0.2,IF(L244="Menor",0.4,IF(L244="Moderado",0.6,IF(L244="Mayor",0.8,IF(L244="Catastrófico",1,))))))</f>
        <v>0.2</v>
      </c>
      <c r="N244" s="229" t="str">
        <f>IF(OR(AND(H244="Muy Baja",L244="Leve"),AND(H244="Muy Baja",L244="Menor"),AND(H244="Baja",L244="Leve")),"Bajo",IF(OR(AND(H244="Muy baja",L244="Moderado"),AND(H244="Baja",L244="Menor"),AND(H244="Baja",L244="Moderado"),AND(H244="Media",L244="Leve"),AND(H244="Media",L244="Menor"),AND(H244="Media",L244="Moderado"),AND(H244="Alta",L244="Leve"),AND(H244="Alta",L244="Menor")),"Moderado",IF(OR(AND(H244="Muy Baja",L244="Mayor"),AND(H244="Baja",L244="Mayor"),AND(H244="Media",L244="Mayor"),AND(H244="Alta",L244="Moderado"),AND(H244="Alta",L244="Mayor"),AND(H244="Muy Alta",L244="Leve"),AND(H244="Muy Alta",L244="Menor"),AND(H244="Muy Alta",L244="Moderado"),AND(H244="Muy Alta",L244="Mayor")),"Alto",IF(OR(AND(H244="Muy Baja",L244="Catastrófico"),AND(H244="Baja",L244="Catastrófico"),AND(H244="Media",L244="Catastrófico"),AND(H244="Alta",L244="Catastrófico"),AND(H244="Muy Alta",L244="Catastrófico")),"Extremo",""))))</f>
        <v>Alto</v>
      </c>
      <c r="O244" s="138">
        <v>1</v>
      </c>
      <c r="P244" s="218" t="s">
        <v>326</v>
      </c>
      <c r="Q244" s="220" t="str">
        <f>IF(OR(R244="Preventivo",R244="Detectivo"),"Probabilidad",IF(R244="Correctivo","Impacto",""))</f>
        <v>Probabilidad</v>
      </c>
      <c r="R244" s="202" t="s">
        <v>14</v>
      </c>
      <c r="S244" s="202" t="s">
        <v>9</v>
      </c>
      <c r="T244" s="200" t="str">
        <f>IF(AND(R244="Preventivo",S244="Automático"),"50%",IF(AND(R244="Preventivo",S244="Manual"),"40%",IF(AND(R244="Detectivo",S244="Automático"),"40%",IF(AND(R244="Detectivo",S244="Manual"),"30%",IF(AND(R244="Correctivo",S244="Automático"),"35%",IF(AND(R244="Correctivo",S244="Manual"),"25%",""))))))</f>
        <v>40%</v>
      </c>
      <c r="U244" s="202" t="s">
        <v>19</v>
      </c>
      <c r="V244" s="202" t="s">
        <v>22</v>
      </c>
      <c r="W244" s="202" t="s">
        <v>119</v>
      </c>
      <c r="X244" s="139">
        <f>IFERROR(IF(Q244="Probabilidad",(I244-(+I244*T244)),IF(Q244="Impacto",I244,"")),"")</f>
        <v>0.6</v>
      </c>
      <c r="Y244" s="204" t="str">
        <f>IFERROR(IF(X244="","",IF(X244&lt;=0.2,"Muy Baja",IF(X244&lt;=0.4,"Baja",IF(X244&lt;=0.6,"Media",IF(X244&lt;=0.8,"Alta","Muy Alta"))))),"")</f>
        <v>Media</v>
      </c>
      <c r="Z244" s="200">
        <f>+X244</f>
        <v>0.6</v>
      </c>
      <c r="AA244" s="204" t="str">
        <f>IFERROR(IF(AB244="","",IF(AB244&lt;=0.2,"Leve",IF(AB244&lt;=0.4,"Menor",IF(AB244&lt;=0.6,"Moderado",IF(AB244&lt;=0.8,"Mayor","Catastrófico"))))),"")</f>
        <v>Leve</v>
      </c>
      <c r="AB244" s="206">
        <f>IFERROR(IF(Q244="Impacto",(M244-(+M244*T244)),IF(Q244="Probabilidad",M244,"")),"")</f>
        <v>0.2</v>
      </c>
      <c r="AC244" s="208" t="str">
        <f>IFERROR(IF(OR(AND(Y244="Muy Baja",AA244="Leve"),AND(Y244="Muy Baja",AA244="Menor"),AND(Y244="Baja",AA244="Leve")),"Bajo",IF(OR(AND(Y244="Muy baja",AA244="Moderado"),AND(Y244="Baja",AA244="Menor"),AND(Y244="Baja",AA244="Moderado"),AND(Y244="Media",AA244="Leve"),AND(Y244="Media",AA244="Menor"),AND(Y244="Media",AA244="Moderado"),AND(Y244="Alta",AA244="Leve"),AND(Y244="Alta",AA244="Menor")),"Moderado",IF(OR(AND(Y244="Muy Baja",AA244="Mayor"),AND(Y244="Baja",AA244="Mayor"),AND(Y244="Media",AA244="Mayor"),AND(Y244="Alta",AA244="Moderado"),AND(Y244="Alta",AA244="Mayor"),AND(Y244="Muy Alta",AA244="Leve"),AND(Y244="Muy Alta",AA244="Menor"),AND(Y244="Muy Alta",AA244="Moderado"),AND(Y244="Muy Alta",AA244="Mayor")),"Alto",IF(OR(AND(Y244="Muy Baja",AA244="Catastrófico"),AND(Y244="Baja",AA244="Catastrófico"),AND(Y244="Media",AA244="Catastrófico"),AND(Y244="Alta",AA244="Catastrófico"),AND(Y244="Muy Alta",AA244="Catastrófico")),"Extremo","")))),"")</f>
        <v>Moderado</v>
      </c>
      <c r="AD244" s="202" t="s">
        <v>135</v>
      </c>
      <c r="AE244" s="212"/>
      <c r="AF244" s="214"/>
      <c r="AG244" s="216"/>
      <c r="AH244" s="216"/>
      <c r="AI244" s="212"/>
      <c r="AJ244" s="214"/>
    </row>
    <row r="245" spans="1:36" ht="73.5" customHeight="1" x14ac:dyDescent="0.3">
      <c r="A245" s="222"/>
      <c r="B245" s="224"/>
      <c r="C245" s="224"/>
      <c r="D245" s="224"/>
      <c r="E245" s="227"/>
      <c r="F245" s="224"/>
      <c r="G245" s="254"/>
      <c r="H245" s="242"/>
      <c r="I245" s="233"/>
      <c r="J245" s="236"/>
      <c r="K245" s="239">
        <f ca="1">IF(NOT(ISERROR(MATCH(J245,_xlfn.ANCHORARRAY(E256),0))),I258&amp;"Por favor no seleccionar los criterios de impacto",J245)</f>
        <v>0</v>
      </c>
      <c r="L245" s="242"/>
      <c r="M245" s="233"/>
      <c r="N245" s="230"/>
      <c r="O245" s="138">
        <v>2</v>
      </c>
      <c r="P245" s="219"/>
      <c r="Q245" s="221"/>
      <c r="R245" s="203"/>
      <c r="S245" s="203"/>
      <c r="T245" s="201"/>
      <c r="U245" s="203"/>
      <c r="V245" s="203"/>
      <c r="W245" s="203"/>
      <c r="X245" s="139" t="str">
        <f>IFERROR(IF(AND(Q244="Probabilidad",Q245="Probabilidad"),(Z244-(+Z244*T245)),IF(Q245="Probabilidad",(I244-(+I244*T245)),IF(Q245="Impacto",Z244,""))),"")</f>
        <v/>
      </c>
      <c r="Y245" s="205"/>
      <c r="Z245" s="201"/>
      <c r="AA245" s="205"/>
      <c r="AB245" s="207"/>
      <c r="AC245" s="209"/>
      <c r="AD245" s="203"/>
      <c r="AE245" s="213"/>
      <c r="AF245" s="215"/>
      <c r="AG245" s="217"/>
      <c r="AH245" s="217"/>
      <c r="AI245" s="213"/>
      <c r="AJ245" s="215"/>
    </row>
    <row r="246" spans="1:36" hidden="1" x14ac:dyDescent="0.3">
      <c r="A246" s="222"/>
      <c r="B246" s="224"/>
      <c r="C246" s="224"/>
      <c r="D246" s="224"/>
      <c r="E246" s="227"/>
      <c r="F246" s="224"/>
      <c r="G246" s="254"/>
      <c r="H246" s="242"/>
      <c r="I246" s="233"/>
      <c r="J246" s="236"/>
      <c r="K246" s="239">
        <f ca="1">IF(NOT(ISERROR(MATCH(J246,_xlfn.ANCHORARRAY(E257),0))),I259&amp;"Por favor no seleccionar los criterios de impacto",J246)</f>
        <v>0</v>
      </c>
      <c r="L246" s="242"/>
      <c r="M246" s="233"/>
      <c r="N246" s="230"/>
      <c r="O246" s="138">
        <v>3</v>
      </c>
      <c r="P246" s="135"/>
      <c r="Q246" s="124" t="str">
        <f>IF(OR(R246="Preventivo",R246="Detectivo"),"Probabilidad",IF(R246="Correctivo","Impacto",""))</f>
        <v/>
      </c>
      <c r="R246" s="125"/>
      <c r="S246" s="125"/>
      <c r="T246" s="126" t="str">
        <f t="shared" ref="T246:T249" si="198">IF(AND(R246="Preventivo",S246="Automático"),"50%",IF(AND(R246="Preventivo",S246="Manual"),"40%",IF(AND(R246="Detectivo",S246="Automático"),"40%",IF(AND(R246="Detectivo",S246="Manual"),"30%",IF(AND(R246="Correctivo",S246="Automático"),"35%",IF(AND(R246="Correctivo",S246="Manual"),"25%",""))))))</f>
        <v/>
      </c>
      <c r="U246" s="125"/>
      <c r="V246" s="125"/>
      <c r="W246" s="125"/>
      <c r="X246" s="127" t="str">
        <f>IFERROR(IF(AND(Q245="Probabilidad",Q246="Probabilidad"),(Z245-(+Z245*T246)),IF(AND(Q245="Impacto",Q246="Probabilidad"),(Z244-(+Z244*T246)),IF(Q246="Impacto",Z245,""))),"")</f>
        <v/>
      </c>
      <c r="Y246" s="128" t="str">
        <f t="shared" si="191"/>
        <v/>
      </c>
      <c r="Z246" s="129" t="str">
        <f t="shared" ref="Z246:Z249" si="199">+X246</f>
        <v/>
      </c>
      <c r="AA246" s="128" t="str">
        <f t="shared" si="193"/>
        <v/>
      </c>
      <c r="AB246" s="137" t="str">
        <f>IFERROR(IF(AND(Q245="Impacto",Q246="Impacto"),(AB245-(+AB245*T246)),IF(AND(Q245="Probabilidad",Q246="Impacto"),(AB244-(+AB244*T246)),IF(Q246="Probabilidad",AB245,""))),"")</f>
        <v/>
      </c>
      <c r="AC246" s="130" t="str">
        <f t="shared" ref="AC246" si="200">IFERROR(IF(OR(AND(Y246="Muy Baja",AA246="Leve"),AND(Y246="Muy Baja",AA246="Menor"),AND(Y246="Baja",AA246="Leve")),"Bajo",IF(OR(AND(Y246="Muy baja",AA246="Moderado"),AND(Y246="Baja",AA246="Menor"),AND(Y246="Baja",AA246="Moderado"),AND(Y246="Media",AA246="Leve"),AND(Y246="Media",AA246="Menor"),AND(Y246="Media",AA246="Moderado"),AND(Y246="Alta",AA246="Leve"),AND(Y246="Alta",AA246="Menor")),"Moderado",IF(OR(AND(Y246="Muy Baja",AA246="Mayor"),AND(Y246="Baja",AA246="Mayor"),AND(Y246="Media",AA246="Mayor"),AND(Y246="Alta",AA246="Moderado"),AND(Y246="Alta",AA246="Mayor"),AND(Y246="Muy Alta",AA246="Leve"),AND(Y246="Muy Alta",AA246="Menor"),AND(Y246="Muy Alta",AA246="Moderado"),AND(Y246="Muy Alta",AA246="Mayor")),"Alto",IF(OR(AND(Y246="Muy Baja",AA246="Catastrófico"),AND(Y246="Baja",AA246="Catastrófico"),AND(Y246="Media",AA246="Catastrófico"),AND(Y246="Alta",AA246="Catastrófico"),AND(Y246="Muy Alta",AA246="Catastrófico")),"Extremo","")))),"")</f>
        <v/>
      </c>
      <c r="AD246" s="131"/>
      <c r="AE246" s="132"/>
      <c r="AF246" s="133"/>
      <c r="AG246" s="134"/>
      <c r="AH246" s="134"/>
      <c r="AI246" s="132"/>
      <c r="AJ246" s="133"/>
    </row>
    <row r="247" spans="1:36" hidden="1" x14ac:dyDescent="0.3">
      <c r="A247" s="222"/>
      <c r="B247" s="224"/>
      <c r="C247" s="224"/>
      <c r="D247" s="224"/>
      <c r="E247" s="227"/>
      <c r="F247" s="224"/>
      <c r="G247" s="254"/>
      <c r="H247" s="242"/>
      <c r="I247" s="233"/>
      <c r="J247" s="236"/>
      <c r="K247" s="239">
        <f ca="1">IF(NOT(ISERROR(MATCH(J247,_xlfn.ANCHORARRAY(E258),0))),I260&amp;"Por favor no seleccionar los criterios de impacto",J247)</f>
        <v>0</v>
      </c>
      <c r="L247" s="242"/>
      <c r="M247" s="233"/>
      <c r="N247" s="230"/>
      <c r="O247" s="138">
        <v>4</v>
      </c>
      <c r="P247" s="123"/>
      <c r="Q247" s="124" t="str">
        <f t="shared" ref="Q247:Q249" si="201">IF(OR(R247="Preventivo",R247="Detectivo"),"Probabilidad",IF(R247="Correctivo","Impacto",""))</f>
        <v/>
      </c>
      <c r="R247" s="125"/>
      <c r="S247" s="125"/>
      <c r="T247" s="126" t="str">
        <f t="shared" si="198"/>
        <v/>
      </c>
      <c r="U247" s="125"/>
      <c r="V247" s="125"/>
      <c r="W247" s="125"/>
      <c r="X247" s="127" t="str">
        <f t="shared" ref="X247:X249" si="202">IFERROR(IF(AND(Q246="Probabilidad",Q247="Probabilidad"),(Z246-(+Z246*T247)),IF(AND(Q246="Impacto",Q247="Probabilidad"),(Z245-(+Z245*T247)),IF(Q247="Impacto",Z246,""))),"")</f>
        <v/>
      </c>
      <c r="Y247" s="128" t="str">
        <f t="shared" si="191"/>
        <v/>
      </c>
      <c r="Z247" s="129" t="str">
        <f t="shared" si="199"/>
        <v/>
      </c>
      <c r="AA247" s="128" t="str">
        <f t="shared" si="193"/>
        <v/>
      </c>
      <c r="AB247" s="137" t="str">
        <f t="shared" ref="AB247:AB249" si="203">IFERROR(IF(AND(Q246="Impacto",Q247="Impacto"),(AB246-(+AB246*T247)),IF(AND(Q246="Probabilidad",Q247="Impacto"),(AB245-(+AB245*T247)),IF(Q247="Probabilidad",AB246,""))),"")</f>
        <v/>
      </c>
      <c r="AC247" s="130" t="str">
        <f>IFERROR(IF(OR(AND(Y247="Muy Baja",AA247="Leve"),AND(Y247="Muy Baja",AA247="Menor"),AND(Y247="Baja",AA247="Leve")),"Bajo",IF(OR(AND(Y247="Muy baja",AA247="Moderado"),AND(Y247="Baja",AA247="Menor"),AND(Y247="Baja",AA247="Moderado"),AND(Y247="Media",AA247="Leve"),AND(Y247="Media",AA247="Menor"),AND(Y247="Media",AA247="Moderado"),AND(Y247="Alta",AA247="Leve"),AND(Y247="Alta",AA247="Menor")),"Moderado",IF(OR(AND(Y247="Muy Baja",AA247="Mayor"),AND(Y247="Baja",AA247="Mayor"),AND(Y247="Media",AA247="Mayor"),AND(Y247="Alta",AA247="Moderado"),AND(Y247="Alta",AA247="Mayor"),AND(Y247="Muy Alta",AA247="Leve"),AND(Y247="Muy Alta",AA247="Menor"),AND(Y247="Muy Alta",AA247="Moderado"),AND(Y247="Muy Alta",AA247="Mayor")),"Alto",IF(OR(AND(Y247="Muy Baja",AA247="Catastrófico"),AND(Y247="Baja",AA247="Catastrófico"),AND(Y247="Media",AA247="Catastrófico"),AND(Y247="Alta",AA247="Catastrófico"),AND(Y247="Muy Alta",AA247="Catastrófico")),"Extremo","")))),"")</f>
        <v/>
      </c>
      <c r="AD247" s="131"/>
      <c r="AE247" s="132"/>
      <c r="AF247" s="133"/>
      <c r="AG247" s="134"/>
      <c r="AH247" s="134"/>
      <c r="AI247" s="132"/>
      <c r="AJ247" s="133"/>
    </row>
    <row r="248" spans="1:36" hidden="1" x14ac:dyDescent="0.3">
      <c r="A248" s="222"/>
      <c r="B248" s="224"/>
      <c r="C248" s="224"/>
      <c r="D248" s="224"/>
      <c r="E248" s="227"/>
      <c r="F248" s="224"/>
      <c r="G248" s="254"/>
      <c r="H248" s="242"/>
      <c r="I248" s="233"/>
      <c r="J248" s="236"/>
      <c r="K248" s="239">
        <f ca="1">IF(NOT(ISERROR(MATCH(J248,_xlfn.ANCHORARRAY(E259),0))),I261&amp;"Por favor no seleccionar los criterios de impacto",J248)</f>
        <v>0</v>
      </c>
      <c r="L248" s="242"/>
      <c r="M248" s="233"/>
      <c r="N248" s="230"/>
      <c r="O248" s="138">
        <v>5</v>
      </c>
      <c r="P248" s="123"/>
      <c r="Q248" s="124" t="str">
        <f t="shared" si="201"/>
        <v/>
      </c>
      <c r="R248" s="125"/>
      <c r="S248" s="125"/>
      <c r="T248" s="126" t="str">
        <f t="shared" si="198"/>
        <v/>
      </c>
      <c r="U248" s="125"/>
      <c r="V248" s="125"/>
      <c r="W248" s="125"/>
      <c r="X248" s="127" t="str">
        <f t="shared" si="202"/>
        <v/>
      </c>
      <c r="Y248" s="128" t="str">
        <f t="shared" si="191"/>
        <v/>
      </c>
      <c r="Z248" s="129" t="str">
        <f t="shared" si="199"/>
        <v/>
      </c>
      <c r="AA248" s="128" t="str">
        <f t="shared" si="193"/>
        <v/>
      </c>
      <c r="AB248" s="137" t="str">
        <f t="shared" si="203"/>
        <v/>
      </c>
      <c r="AC248" s="130" t="str">
        <f t="shared" ref="AC248:AC249" si="204">IFERROR(IF(OR(AND(Y248="Muy Baja",AA248="Leve"),AND(Y248="Muy Baja",AA248="Menor"),AND(Y248="Baja",AA248="Leve")),"Bajo",IF(OR(AND(Y248="Muy baja",AA248="Moderado"),AND(Y248="Baja",AA248="Menor"),AND(Y248="Baja",AA248="Moderado"),AND(Y248="Media",AA248="Leve"),AND(Y248="Media",AA248="Menor"),AND(Y248="Media",AA248="Moderado"),AND(Y248="Alta",AA248="Leve"),AND(Y248="Alta",AA248="Menor")),"Moderado",IF(OR(AND(Y248="Muy Baja",AA248="Mayor"),AND(Y248="Baja",AA248="Mayor"),AND(Y248="Media",AA248="Mayor"),AND(Y248="Alta",AA248="Moderado"),AND(Y248="Alta",AA248="Mayor"),AND(Y248="Muy Alta",AA248="Leve"),AND(Y248="Muy Alta",AA248="Menor"),AND(Y248="Muy Alta",AA248="Moderado"),AND(Y248="Muy Alta",AA248="Mayor")),"Alto",IF(OR(AND(Y248="Muy Baja",AA248="Catastrófico"),AND(Y248="Baja",AA248="Catastrófico"),AND(Y248="Media",AA248="Catastrófico"),AND(Y248="Alta",AA248="Catastrófico"),AND(Y248="Muy Alta",AA248="Catastrófico")),"Extremo","")))),"")</f>
        <v/>
      </c>
      <c r="AD248" s="131"/>
      <c r="AE248" s="132"/>
      <c r="AF248" s="133"/>
      <c r="AG248" s="134"/>
      <c r="AH248" s="134"/>
      <c r="AI248" s="132"/>
      <c r="AJ248" s="133"/>
    </row>
    <row r="249" spans="1:36" ht="62.25" hidden="1" customHeight="1" x14ac:dyDescent="0.3">
      <c r="A249" s="211"/>
      <c r="B249" s="225"/>
      <c r="C249" s="225"/>
      <c r="D249" s="225"/>
      <c r="E249" s="228"/>
      <c r="F249" s="225"/>
      <c r="G249" s="255"/>
      <c r="H249" s="243"/>
      <c r="I249" s="234"/>
      <c r="J249" s="237"/>
      <c r="K249" s="240">
        <f ca="1">IF(NOT(ISERROR(MATCH(J249,_xlfn.ANCHORARRAY(E260),0))),I262&amp;"Por favor no seleccionar los criterios de impacto",J249)</f>
        <v>0</v>
      </c>
      <c r="L249" s="243"/>
      <c r="M249" s="234"/>
      <c r="N249" s="231"/>
      <c r="O249" s="138">
        <v>6</v>
      </c>
      <c r="P249" s="123"/>
      <c r="Q249" s="124" t="str">
        <f t="shared" si="201"/>
        <v/>
      </c>
      <c r="R249" s="125"/>
      <c r="S249" s="125"/>
      <c r="T249" s="126" t="str">
        <f t="shared" si="198"/>
        <v/>
      </c>
      <c r="U249" s="125"/>
      <c r="V249" s="125"/>
      <c r="W249" s="125"/>
      <c r="X249" s="127" t="str">
        <f t="shared" si="202"/>
        <v/>
      </c>
      <c r="Y249" s="128" t="str">
        <f t="shared" si="191"/>
        <v/>
      </c>
      <c r="Z249" s="129" t="str">
        <f t="shared" si="199"/>
        <v/>
      </c>
      <c r="AA249" s="128" t="str">
        <f t="shared" si="193"/>
        <v/>
      </c>
      <c r="AB249" s="137" t="str">
        <f t="shared" si="203"/>
        <v/>
      </c>
      <c r="AC249" s="130" t="str">
        <f t="shared" si="204"/>
        <v/>
      </c>
      <c r="AD249" s="131"/>
      <c r="AE249" s="132"/>
      <c r="AF249" s="133"/>
      <c r="AG249" s="134"/>
      <c r="AH249" s="134"/>
      <c r="AI249" s="132"/>
      <c r="AJ249" s="133"/>
    </row>
    <row r="250" spans="1:36" x14ac:dyDescent="0.3">
      <c r="A250" s="210">
        <v>3</v>
      </c>
      <c r="B250" s="223" t="s">
        <v>131</v>
      </c>
      <c r="C250" s="223" t="s">
        <v>327</v>
      </c>
      <c r="D250" s="223" t="s">
        <v>328</v>
      </c>
      <c r="E250" s="226" t="s">
        <v>329</v>
      </c>
      <c r="F250" s="223" t="s">
        <v>123</v>
      </c>
      <c r="G250" s="253">
        <v>5556</v>
      </c>
      <c r="H250" s="241" t="str">
        <f>IF(G250&lt;=0,"",IF(G250&lt;=2,"Muy Baja",IF(G250&lt;=24,"Baja",IF(G250&lt;=500,"Media",IF(G250&lt;=5000,"Alta","Muy Alta")))))</f>
        <v>Muy Alta</v>
      </c>
      <c r="I250" s="232">
        <f>IF(H250="","",IF(H250="Muy Baja",0.2,IF(H250="Baja",0.4,IF(H250="Media",0.6,IF(H250="Alta",0.8,IF(H250="Muy Alta",1,))))))</f>
        <v>1</v>
      </c>
      <c r="J250" s="235" t="s">
        <v>150</v>
      </c>
      <c r="K250" s="238" t="str">
        <f>IF(NOT(ISERROR(MATCH(J250,'[8]Tabla Impacto'!$B$221:$B$223,0))),'[8]Tabla Impacto'!$F$223&amp;"Por favor no seleccionar los criterios de impacto(Afectación Económica o presupuestal y Pérdida Reputacional)",J250)</f>
        <v xml:space="preserve">     El riesgo afecta la imagen de alguna área de la organización</v>
      </c>
      <c r="L250" s="241" t="str">
        <f>IF(OR(K250='[8]Tabla Impacto'!$C$11,K250='[8]Tabla Impacto'!$D$11),"Leve",IF(OR(K250='[8]Tabla Impacto'!$C$12,K250='[8]Tabla Impacto'!$D$12),"Menor",IF(OR(K250='[8]Tabla Impacto'!$C$13,K250='[8]Tabla Impacto'!$D$13),"Moderado",IF(OR(K250='[8]Tabla Impacto'!$C$14,K250='[8]Tabla Impacto'!$D$14),"Mayor",IF(OR(K250='[8]Tabla Impacto'!$C$15,K250='[8]Tabla Impacto'!$D$15),"Catastrófico","")))))</f>
        <v>Leve</v>
      </c>
      <c r="M250" s="232">
        <f>IF(L250="","",IF(L250="Leve",0.2,IF(L250="Menor",0.4,IF(L250="Moderado",0.6,IF(L250="Mayor",0.8,IF(L250="Catastrófico",1,))))))</f>
        <v>0.2</v>
      </c>
      <c r="N250" s="229" t="str">
        <f>IF(OR(AND(H250="Muy Baja",L250="Leve"),AND(H250="Muy Baja",L250="Menor"),AND(H250="Baja",L250="Leve")),"Bajo",IF(OR(AND(H250="Muy baja",L250="Moderado"),AND(H250="Baja",L250="Menor"),AND(H250="Baja",L250="Moderado"),AND(H250="Media",L250="Leve"),AND(H250="Media",L250="Menor"),AND(H250="Media",L250="Moderado"),AND(H250="Alta",L250="Leve"),AND(H250="Alta",L250="Menor")),"Moderado",IF(OR(AND(H250="Muy Baja",L250="Mayor"),AND(H250="Baja",L250="Mayor"),AND(H250="Media",L250="Mayor"),AND(H250="Alta",L250="Moderado"),AND(H250="Alta",L250="Mayor"),AND(H250="Muy Alta",L250="Leve"),AND(H250="Muy Alta",L250="Menor"),AND(H250="Muy Alta",L250="Moderado"),AND(H250="Muy Alta",L250="Mayor")),"Alto",IF(OR(AND(H250="Muy Baja",L250="Catastrófico"),AND(H250="Baja",L250="Catastrófico"),AND(H250="Media",L250="Catastrófico"),AND(H250="Alta",L250="Catastrófico"),AND(H250="Muy Alta",L250="Catastrófico")),"Extremo",""))))</f>
        <v>Alto</v>
      </c>
      <c r="O250" s="138">
        <v>1</v>
      </c>
      <c r="P250" s="218" t="s">
        <v>330</v>
      </c>
      <c r="Q250" s="220" t="str">
        <f>IF(OR(R250="Preventivo",R250="Detectivo"),"Probabilidad",IF(R250="Correctivo","Impacto",""))</f>
        <v>Probabilidad</v>
      </c>
      <c r="R250" s="202" t="s">
        <v>14</v>
      </c>
      <c r="S250" s="202" t="s">
        <v>9</v>
      </c>
      <c r="T250" s="200" t="str">
        <f>IF(AND(R250="Preventivo",S250="Automático"),"50%",IF(AND(R250="Preventivo",S250="Manual"),"40%",IF(AND(R250="Detectivo",S250="Automático"),"40%",IF(AND(R250="Detectivo",S250="Manual"),"30%",IF(AND(R250="Correctivo",S250="Automático"),"35%",IF(AND(R250="Correctivo",S250="Manual"),"25%",""))))))</f>
        <v>40%</v>
      </c>
      <c r="U250" s="202" t="s">
        <v>19</v>
      </c>
      <c r="V250" s="202" t="s">
        <v>23</v>
      </c>
      <c r="W250" s="202" t="s">
        <v>119</v>
      </c>
      <c r="X250" s="127">
        <f>IFERROR(IF(Q250="Probabilidad",(I250-(+I250*T250)),IF(Q250="Impacto",I250,"")),"")</f>
        <v>0.6</v>
      </c>
      <c r="Y250" s="204" t="str">
        <f>IFERROR(IF(X250="","",IF(X250&lt;=0.2,"Muy Baja",IF(X250&lt;=0.4,"Baja",IF(X250&lt;=0.6,"Media",IF(X250&lt;=0.8,"Alta","Muy Alta"))))),"")</f>
        <v>Media</v>
      </c>
      <c r="Z250" s="200">
        <f>+X250</f>
        <v>0.6</v>
      </c>
      <c r="AA250" s="204" t="str">
        <f>IFERROR(IF(AB250="","",IF(AB250&lt;=0.2,"Leve",IF(AB250&lt;=0.4,"Menor",IF(AB250&lt;=0.6,"Moderado",IF(AB250&lt;=0.8,"Mayor","Catastrófico"))))),"")</f>
        <v>Leve</v>
      </c>
      <c r="AB250" s="206">
        <f>IFERROR(IF(Q250="Impacto",(M250-(+M250*T250)),IF(Q250="Probabilidad",M250,"")),"")</f>
        <v>0.2</v>
      </c>
      <c r="AC250" s="208" t="str">
        <f>IFERROR(IF(OR(AND(Y250="Muy Baja",AA250="Leve"),AND(Y250="Muy Baja",AA250="Menor"),AND(Y250="Baja",AA250="Leve")),"Bajo",IF(OR(AND(Y250="Muy baja",AA250="Moderado"),AND(Y250="Baja",AA250="Menor"),AND(Y250="Baja",AA250="Moderado"),AND(Y250="Media",AA250="Leve"),AND(Y250="Media",AA250="Menor"),AND(Y250="Media",AA250="Moderado"),AND(Y250="Alta",AA250="Leve"),AND(Y250="Alta",AA250="Menor")),"Moderado",IF(OR(AND(Y250="Muy Baja",AA250="Mayor"),AND(Y250="Baja",AA250="Mayor"),AND(Y250="Media",AA250="Mayor"),AND(Y250="Alta",AA250="Moderado"),AND(Y250="Alta",AA250="Mayor"),AND(Y250="Muy Alta",AA250="Leve"),AND(Y250="Muy Alta",AA250="Menor"),AND(Y250="Muy Alta",AA250="Moderado"),AND(Y250="Muy Alta",AA250="Mayor")),"Alto",IF(OR(AND(Y250="Muy Baja",AA250="Catastrófico"),AND(Y250="Baja",AA250="Catastrófico"),AND(Y250="Media",AA250="Catastrófico"),AND(Y250="Alta",AA250="Catastrófico"),AND(Y250="Muy Alta",AA250="Catastrófico")),"Extremo","")))),"")</f>
        <v>Moderado</v>
      </c>
      <c r="AD250" s="202" t="s">
        <v>135</v>
      </c>
      <c r="AE250" s="132"/>
      <c r="AF250" s="133"/>
      <c r="AG250" s="134"/>
      <c r="AH250" s="134"/>
      <c r="AI250" s="132"/>
      <c r="AJ250" s="133"/>
    </row>
    <row r="251" spans="1:36" ht="87.75" customHeight="1" x14ac:dyDescent="0.3">
      <c r="A251" s="222"/>
      <c r="B251" s="224"/>
      <c r="C251" s="224"/>
      <c r="D251" s="224"/>
      <c r="E251" s="227"/>
      <c r="F251" s="224"/>
      <c r="G251" s="254"/>
      <c r="H251" s="242"/>
      <c r="I251" s="233"/>
      <c r="J251" s="236"/>
      <c r="K251" s="239">
        <f t="shared" ref="K251:K254" ca="1" si="205">IF(NOT(ISERROR(MATCH(J251,_xlfn.ANCHORARRAY(E262),0))),I264&amp;"Por favor no seleccionar los criterios de impacto",J251)</f>
        <v>0</v>
      </c>
      <c r="L251" s="242"/>
      <c r="M251" s="233"/>
      <c r="N251" s="230"/>
      <c r="O251" s="138">
        <v>2</v>
      </c>
      <c r="P251" s="219"/>
      <c r="Q251" s="221"/>
      <c r="R251" s="203"/>
      <c r="S251" s="203"/>
      <c r="T251" s="201"/>
      <c r="U251" s="203"/>
      <c r="V251" s="203"/>
      <c r="W251" s="203"/>
      <c r="X251" s="136" t="str">
        <f>IFERROR(IF(AND(Q250="Probabilidad",Q251="Probabilidad"),(Z250-(+Z250*T251)),IF(Q251="Probabilidad",(I250-(+I250*T251)),IF(Q251="Impacto",Z250,""))),"")</f>
        <v/>
      </c>
      <c r="Y251" s="205"/>
      <c r="Z251" s="201"/>
      <c r="AA251" s="205"/>
      <c r="AB251" s="207"/>
      <c r="AC251" s="209"/>
      <c r="AD251" s="203"/>
      <c r="AE251" s="132"/>
      <c r="AF251" s="133"/>
      <c r="AG251" s="134"/>
      <c r="AH251" s="134"/>
      <c r="AI251" s="132"/>
      <c r="AJ251" s="133"/>
    </row>
    <row r="252" spans="1:36" hidden="1" x14ac:dyDescent="0.3">
      <c r="A252" s="222"/>
      <c r="B252" s="224"/>
      <c r="C252" s="224"/>
      <c r="D252" s="224"/>
      <c r="E252" s="227"/>
      <c r="F252" s="224"/>
      <c r="G252" s="254"/>
      <c r="H252" s="242"/>
      <c r="I252" s="233"/>
      <c r="J252" s="236"/>
      <c r="K252" s="239">
        <f t="shared" ca="1" si="205"/>
        <v>0</v>
      </c>
      <c r="L252" s="242"/>
      <c r="M252" s="233"/>
      <c r="N252" s="230"/>
      <c r="O252" s="138">
        <v>3</v>
      </c>
      <c r="P252" s="135"/>
      <c r="Q252" s="124" t="str">
        <f>IF(OR(R252="Preventivo",R252="Detectivo"),"Probabilidad",IF(R252="Correctivo","Impacto",""))</f>
        <v/>
      </c>
      <c r="R252" s="125"/>
      <c r="S252" s="125"/>
      <c r="T252" s="126" t="str">
        <f t="shared" ref="T252:T255" si="206">IF(AND(R252="Preventivo",S252="Automático"),"50%",IF(AND(R252="Preventivo",S252="Manual"),"40%",IF(AND(R252="Detectivo",S252="Automático"),"40%",IF(AND(R252="Detectivo",S252="Manual"),"30%",IF(AND(R252="Correctivo",S252="Automático"),"35%",IF(AND(R252="Correctivo",S252="Manual"),"25%",""))))))</f>
        <v/>
      </c>
      <c r="U252" s="125"/>
      <c r="V252" s="125"/>
      <c r="W252" s="125"/>
      <c r="X252" s="127" t="str">
        <f>IFERROR(IF(AND(Q251="Probabilidad",Q252="Probabilidad"),(Z251-(+Z251*T252)),IF(AND(Q251="Impacto",Q252="Probabilidad"),(Z250-(+Z250*T252)),IF(Q252="Impacto",Z251,""))),"")</f>
        <v/>
      </c>
      <c r="Y252" s="128" t="str">
        <f t="shared" si="191"/>
        <v/>
      </c>
      <c r="Z252" s="129" t="str">
        <f t="shared" ref="Z252:Z255" si="207">+X252</f>
        <v/>
      </c>
      <c r="AA252" s="128" t="str">
        <f t="shared" si="193"/>
        <v/>
      </c>
      <c r="AB252" s="137" t="str">
        <f>IFERROR(IF(AND(Q251="Impacto",Q252="Impacto"),(AB251-(+AB251*T252)),IF(AND(Q251="Probabilidad",Q252="Impacto"),(AB250-(+AB250*T252)),IF(Q252="Probabilidad",AB251,""))),"")</f>
        <v/>
      </c>
      <c r="AC252" s="130" t="str">
        <f t="shared" ref="AC252" si="208">IFERROR(IF(OR(AND(Y252="Muy Baja",AA252="Leve"),AND(Y252="Muy Baja",AA252="Menor"),AND(Y252="Baja",AA252="Leve")),"Bajo",IF(OR(AND(Y252="Muy baja",AA252="Moderado"),AND(Y252="Baja",AA252="Menor"),AND(Y252="Baja",AA252="Moderado"),AND(Y252="Media",AA252="Leve"),AND(Y252="Media",AA252="Menor"),AND(Y252="Media",AA252="Moderado"),AND(Y252="Alta",AA252="Leve"),AND(Y252="Alta",AA252="Menor")),"Moderado",IF(OR(AND(Y252="Muy Baja",AA252="Mayor"),AND(Y252="Baja",AA252="Mayor"),AND(Y252="Media",AA252="Mayor"),AND(Y252="Alta",AA252="Moderado"),AND(Y252="Alta",AA252="Mayor"),AND(Y252="Muy Alta",AA252="Leve"),AND(Y252="Muy Alta",AA252="Menor"),AND(Y252="Muy Alta",AA252="Moderado"),AND(Y252="Muy Alta",AA252="Mayor")),"Alto",IF(OR(AND(Y252="Muy Baja",AA252="Catastrófico"),AND(Y252="Baja",AA252="Catastrófico"),AND(Y252="Media",AA252="Catastrófico"),AND(Y252="Alta",AA252="Catastrófico"),AND(Y252="Muy Alta",AA252="Catastrófico")),"Extremo","")))),"")</f>
        <v/>
      </c>
      <c r="AD252" s="131"/>
      <c r="AE252" s="132"/>
      <c r="AF252" s="133"/>
      <c r="AG252" s="134"/>
      <c r="AH252" s="134"/>
      <c r="AI252" s="132"/>
      <c r="AJ252" s="133"/>
    </row>
    <row r="253" spans="1:36" hidden="1" x14ac:dyDescent="0.3">
      <c r="A253" s="222"/>
      <c r="B253" s="224"/>
      <c r="C253" s="224"/>
      <c r="D253" s="224"/>
      <c r="E253" s="227"/>
      <c r="F253" s="224"/>
      <c r="G253" s="254"/>
      <c r="H253" s="242"/>
      <c r="I253" s="233"/>
      <c r="J253" s="236"/>
      <c r="K253" s="239">
        <f t="shared" ca="1" si="205"/>
        <v>0</v>
      </c>
      <c r="L253" s="242"/>
      <c r="M253" s="233"/>
      <c r="N253" s="230"/>
      <c r="O253" s="138">
        <v>4</v>
      </c>
      <c r="P253" s="123"/>
      <c r="Q253" s="124" t="str">
        <f t="shared" ref="Q253:Q255" si="209">IF(OR(R253="Preventivo",R253="Detectivo"),"Probabilidad",IF(R253="Correctivo","Impacto",""))</f>
        <v/>
      </c>
      <c r="R253" s="125"/>
      <c r="S253" s="125"/>
      <c r="T253" s="126" t="str">
        <f t="shared" si="206"/>
        <v/>
      </c>
      <c r="U253" s="125"/>
      <c r="V253" s="125"/>
      <c r="W253" s="125"/>
      <c r="X253" s="127" t="str">
        <f t="shared" ref="X253:X255" si="210">IFERROR(IF(AND(Q252="Probabilidad",Q253="Probabilidad"),(Z252-(+Z252*T253)),IF(AND(Q252="Impacto",Q253="Probabilidad"),(Z251-(+Z251*T253)),IF(Q253="Impacto",Z252,""))),"")</f>
        <v/>
      </c>
      <c r="Y253" s="128" t="str">
        <f t="shared" si="191"/>
        <v/>
      </c>
      <c r="Z253" s="129" t="str">
        <f t="shared" si="207"/>
        <v/>
      </c>
      <c r="AA253" s="128" t="str">
        <f t="shared" si="193"/>
        <v/>
      </c>
      <c r="AB253" s="137" t="str">
        <f t="shared" ref="AB253:AB255" si="211">IFERROR(IF(AND(Q252="Impacto",Q253="Impacto"),(AB252-(+AB252*T253)),IF(AND(Q252="Probabilidad",Q253="Impacto"),(AB251-(+AB251*T253)),IF(Q253="Probabilidad",AB252,""))),"")</f>
        <v/>
      </c>
      <c r="AC253" s="130" t="str">
        <f>IFERROR(IF(OR(AND(Y253="Muy Baja",AA253="Leve"),AND(Y253="Muy Baja",AA253="Menor"),AND(Y253="Baja",AA253="Leve")),"Bajo",IF(OR(AND(Y253="Muy baja",AA253="Moderado"),AND(Y253="Baja",AA253="Menor"),AND(Y253="Baja",AA253="Moderado"),AND(Y253="Media",AA253="Leve"),AND(Y253="Media",AA253="Menor"),AND(Y253="Media",AA253="Moderado"),AND(Y253="Alta",AA253="Leve"),AND(Y253="Alta",AA253="Menor")),"Moderado",IF(OR(AND(Y253="Muy Baja",AA253="Mayor"),AND(Y253="Baja",AA253="Mayor"),AND(Y253="Media",AA253="Mayor"),AND(Y253="Alta",AA253="Moderado"),AND(Y253="Alta",AA253="Mayor"),AND(Y253="Muy Alta",AA253="Leve"),AND(Y253="Muy Alta",AA253="Menor"),AND(Y253="Muy Alta",AA253="Moderado"),AND(Y253="Muy Alta",AA253="Mayor")),"Alto",IF(OR(AND(Y253="Muy Baja",AA253="Catastrófico"),AND(Y253="Baja",AA253="Catastrófico"),AND(Y253="Media",AA253="Catastrófico"),AND(Y253="Alta",AA253="Catastrófico"),AND(Y253="Muy Alta",AA253="Catastrófico")),"Extremo","")))),"")</f>
        <v/>
      </c>
      <c r="AD253" s="131"/>
      <c r="AE253" s="132"/>
      <c r="AF253" s="133"/>
      <c r="AG253" s="134"/>
      <c r="AH253" s="134"/>
      <c r="AI253" s="132"/>
      <c r="AJ253" s="133"/>
    </row>
    <row r="254" spans="1:36" hidden="1" x14ac:dyDescent="0.3">
      <c r="A254" s="222"/>
      <c r="B254" s="224"/>
      <c r="C254" s="224"/>
      <c r="D254" s="224"/>
      <c r="E254" s="227"/>
      <c r="F254" s="224"/>
      <c r="G254" s="254"/>
      <c r="H254" s="242"/>
      <c r="I254" s="233"/>
      <c r="J254" s="236"/>
      <c r="K254" s="239">
        <f t="shared" ca="1" si="205"/>
        <v>0</v>
      </c>
      <c r="L254" s="242"/>
      <c r="M254" s="233"/>
      <c r="N254" s="230"/>
      <c r="O254" s="138">
        <v>5</v>
      </c>
      <c r="P254" s="123"/>
      <c r="Q254" s="124" t="str">
        <f t="shared" si="209"/>
        <v/>
      </c>
      <c r="R254" s="125"/>
      <c r="S254" s="125"/>
      <c r="T254" s="126" t="str">
        <f t="shared" si="206"/>
        <v/>
      </c>
      <c r="U254" s="125"/>
      <c r="V254" s="125"/>
      <c r="W254" s="125"/>
      <c r="X254" s="127" t="str">
        <f t="shared" si="210"/>
        <v/>
      </c>
      <c r="Y254" s="128" t="str">
        <f t="shared" si="191"/>
        <v/>
      </c>
      <c r="Z254" s="129" t="str">
        <f t="shared" si="207"/>
        <v/>
      </c>
      <c r="AA254" s="128" t="str">
        <f t="shared" si="193"/>
        <v/>
      </c>
      <c r="AB254" s="137" t="str">
        <f t="shared" si="211"/>
        <v/>
      </c>
      <c r="AC254" s="130" t="str">
        <f t="shared" ref="AC254:AC255" si="212">IFERROR(IF(OR(AND(Y254="Muy Baja",AA254="Leve"),AND(Y254="Muy Baja",AA254="Menor"),AND(Y254="Baja",AA254="Leve")),"Bajo",IF(OR(AND(Y254="Muy baja",AA254="Moderado"),AND(Y254="Baja",AA254="Menor"),AND(Y254="Baja",AA254="Moderado"),AND(Y254="Media",AA254="Leve"),AND(Y254="Media",AA254="Menor"),AND(Y254="Media",AA254="Moderado"),AND(Y254="Alta",AA254="Leve"),AND(Y254="Alta",AA254="Menor")),"Moderado",IF(OR(AND(Y254="Muy Baja",AA254="Mayor"),AND(Y254="Baja",AA254="Mayor"),AND(Y254="Media",AA254="Mayor"),AND(Y254="Alta",AA254="Moderado"),AND(Y254="Alta",AA254="Mayor"),AND(Y254="Muy Alta",AA254="Leve"),AND(Y254="Muy Alta",AA254="Menor"),AND(Y254="Muy Alta",AA254="Moderado"),AND(Y254="Muy Alta",AA254="Mayor")),"Alto",IF(OR(AND(Y254="Muy Baja",AA254="Catastrófico"),AND(Y254="Baja",AA254="Catastrófico"),AND(Y254="Media",AA254="Catastrófico"),AND(Y254="Alta",AA254="Catastrófico"),AND(Y254="Muy Alta",AA254="Catastrófico")),"Extremo","")))),"")</f>
        <v/>
      </c>
      <c r="AD254" s="131"/>
      <c r="AE254" s="132"/>
      <c r="AF254" s="133"/>
      <c r="AG254" s="134"/>
      <c r="AH254" s="134"/>
      <c r="AI254" s="132"/>
      <c r="AJ254" s="133"/>
    </row>
    <row r="255" spans="1:36" hidden="1" x14ac:dyDescent="0.3">
      <c r="A255" s="211"/>
      <c r="B255" s="225"/>
      <c r="C255" s="225"/>
      <c r="D255" s="225"/>
      <c r="E255" s="228"/>
      <c r="F255" s="225"/>
      <c r="G255" s="255"/>
      <c r="H255" s="243"/>
      <c r="I255" s="234"/>
      <c r="J255" s="237"/>
      <c r="K255" s="240">
        <f ca="1">IF(NOT(ISERROR(MATCH(J255,_xlfn.ANCHORARRAY(E266),0))),#REF!&amp;"Por favor no seleccionar los criterios de impacto",J255)</f>
        <v>0</v>
      </c>
      <c r="L255" s="243"/>
      <c r="M255" s="234"/>
      <c r="N255" s="231"/>
      <c r="O255" s="138">
        <v>6</v>
      </c>
      <c r="P255" s="123"/>
      <c r="Q255" s="124" t="str">
        <f t="shared" si="209"/>
        <v/>
      </c>
      <c r="R255" s="125"/>
      <c r="S255" s="125"/>
      <c r="T255" s="126" t="str">
        <f t="shared" si="206"/>
        <v/>
      </c>
      <c r="U255" s="125"/>
      <c r="V255" s="125"/>
      <c r="W255" s="125"/>
      <c r="X255" s="127" t="str">
        <f t="shared" si="210"/>
        <v/>
      </c>
      <c r="Y255" s="128" t="str">
        <f t="shared" si="191"/>
        <v/>
      </c>
      <c r="Z255" s="129" t="str">
        <f t="shared" si="207"/>
        <v/>
      </c>
      <c r="AA255" s="128" t="str">
        <f t="shared" si="193"/>
        <v/>
      </c>
      <c r="AB255" s="137" t="str">
        <f t="shared" si="211"/>
        <v/>
      </c>
      <c r="AC255" s="130" t="str">
        <f t="shared" si="212"/>
        <v/>
      </c>
      <c r="AD255" s="131"/>
      <c r="AE255" s="132"/>
      <c r="AF255" s="133"/>
      <c r="AG255" s="134"/>
      <c r="AH255" s="134"/>
      <c r="AI255" s="132"/>
      <c r="AJ255" s="133"/>
    </row>
    <row r="256" spans="1:36" x14ac:dyDescent="0.3">
      <c r="A256" s="210">
        <v>4</v>
      </c>
      <c r="B256" s="223" t="s">
        <v>132</v>
      </c>
      <c r="C256" s="223" t="s">
        <v>331</v>
      </c>
      <c r="D256" s="223" t="s">
        <v>332</v>
      </c>
      <c r="E256" s="226" t="s">
        <v>333</v>
      </c>
      <c r="F256" s="223" t="s">
        <v>123</v>
      </c>
      <c r="G256" s="253">
        <v>48</v>
      </c>
      <c r="H256" s="241" t="str">
        <f>IF(G256&lt;=0,"",IF(G256&lt;=2,"Muy Baja",IF(G256&lt;=24,"Baja",IF(G256&lt;=500,"Media",IF(G256&lt;=5000,"Alta","Muy Alta")))))</f>
        <v>Media</v>
      </c>
      <c r="I256" s="232">
        <f>IF(H256="","",IF(H256="Muy Baja",0.2,IF(H256="Baja",0.4,IF(H256="Media",0.6,IF(H256="Alta",0.8,IF(H256="Muy Alta",1,))))))</f>
        <v>0.6</v>
      </c>
      <c r="J256" s="235" t="s">
        <v>143</v>
      </c>
      <c r="K256" s="238" t="str">
        <f>IF(NOT(ISERROR(MATCH(J256,'[8]Tabla Impacto'!$B$221:$B$223,0))),'[8]Tabla Impacto'!$F$223&amp;"Por favor no seleccionar los criterios de impacto(Afectación Económica o presupuestal y Pérdida Reputacional)",J256)</f>
        <v xml:space="preserve">     Afectación menor a 10 SMLMV .</v>
      </c>
      <c r="L256" s="241" t="str">
        <f>IF(OR(K256='[8]Tabla Impacto'!$C$11,K256='[8]Tabla Impacto'!$D$11),"Leve",IF(OR(K256='[8]Tabla Impacto'!$C$12,K256='[8]Tabla Impacto'!$D$12),"Menor",IF(OR(K256='[8]Tabla Impacto'!$C$13,K256='[8]Tabla Impacto'!$D$13),"Moderado",IF(OR(K256='[8]Tabla Impacto'!$C$14,K256='[8]Tabla Impacto'!$D$14),"Mayor",IF(OR(K256='[8]Tabla Impacto'!$C$15,K256='[8]Tabla Impacto'!$D$15),"Catastrófico","")))))</f>
        <v>Leve</v>
      </c>
      <c r="M256" s="232">
        <f>IF(L256="","",IF(L256="Leve",0.2,IF(L256="Menor",0.4,IF(L256="Moderado",0.6,IF(L256="Mayor",0.8,IF(L256="Catastrófico",1,))))))</f>
        <v>0.2</v>
      </c>
      <c r="N256" s="229" t="str">
        <f>IF(OR(AND(H256="Muy Baja",L256="Leve"),AND(H256="Muy Baja",L256="Menor"),AND(H256="Baja",L256="Leve")),"Bajo",IF(OR(AND(H256="Muy baja",L256="Moderado"),AND(H256="Baja",L256="Menor"),AND(H256="Baja",L256="Moderado"),AND(H256="Media",L256="Leve"),AND(H256="Media",L256="Menor"),AND(H256="Media",L256="Moderado"),AND(H256="Alta",L256="Leve"),AND(H256="Alta",L256="Menor")),"Moderado",IF(OR(AND(H256="Muy Baja",L256="Mayor"),AND(H256="Baja",L256="Mayor"),AND(H256="Media",L256="Mayor"),AND(H256="Alta",L256="Moderado"),AND(H256="Alta",L256="Mayor"),AND(H256="Muy Alta",L256="Leve"),AND(H256="Muy Alta",L256="Menor"),AND(H256="Muy Alta",L256="Moderado"),AND(H256="Muy Alta",L256="Mayor")),"Alto",IF(OR(AND(H256="Muy Baja",L256="Catastrófico"),AND(H256="Baja",L256="Catastrófico"),AND(H256="Media",L256="Catastrófico"),AND(H256="Alta",L256="Catastrófico"),AND(H256="Muy Alta",L256="Catastrófico")),"Extremo",""))))</f>
        <v>Moderado</v>
      </c>
      <c r="O256" s="138">
        <v>1</v>
      </c>
      <c r="P256" s="218" t="s">
        <v>334</v>
      </c>
      <c r="Q256" s="220" t="str">
        <f>IF(OR(R256="Preventivo",R256="Detectivo"),"Probabilidad",IF(R256="Correctivo","Impacto",""))</f>
        <v>Probabilidad</v>
      </c>
      <c r="R256" s="202" t="s">
        <v>14</v>
      </c>
      <c r="S256" s="202" t="s">
        <v>9</v>
      </c>
      <c r="T256" s="200" t="str">
        <f>IF(AND(R256="Preventivo",S256="Automático"),"50%",IF(AND(R256="Preventivo",S256="Manual"),"40%",IF(AND(R256="Detectivo",S256="Automático"),"40%",IF(AND(R256="Detectivo",S256="Manual"),"30%",IF(AND(R256="Correctivo",S256="Automático"),"35%",IF(AND(R256="Correctivo",S256="Manual"),"25%",""))))))</f>
        <v>40%</v>
      </c>
      <c r="U256" s="202" t="s">
        <v>19</v>
      </c>
      <c r="V256" s="202" t="s">
        <v>22</v>
      </c>
      <c r="W256" s="202" t="s">
        <v>119</v>
      </c>
      <c r="X256" s="127">
        <f>IFERROR(IF(Q256="Probabilidad",(I256-(+I256*T256)),IF(Q256="Impacto",I256,"")),"")</f>
        <v>0.36</v>
      </c>
      <c r="Y256" s="204" t="str">
        <f>IFERROR(IF(X256="","",IF(X256&lt;=0.2,"Muy Baja",IF(X256&lt;=0.4,"Baja",IF(X256&lt;=0.6,"Media",IF(X256&lt;=0.8,"Alta","Muy Alta"))))),"")</f>
        <v>Baja</v>
      </c>
      <c r="Z256" s="200">
        <f>+X256</f>
        <v>0.36</v>
      </c>
      <c r="AA256" s="204" t="str">
        <f>IFERROR(IF(AB256="","",IF(AB256&lt;=0.2,"Leve",IF(AB256&lt;=0.4,"Menor",IF(AB256&lt;=0.6,"Moderado",IF(AB256&lt;=0.8,"Mayor","Catastrófico"))))),"")</f>
        <v>Leve</v>
      </c>
      <c r="AB256" s="206">
        <f>IFERROR(IF(Q256="Impacto",(M256-(+M256*T256)),IF(Q256="Probabilidad",M256,"")),"")</f>
        <v>0.2</v>
      </c>
      <c r="AC256" s="208" t="str">
        <f>IFERROR(IF(OR(AND(Y256="Muy Baja",AA256="Leve"),AND(Y256="Muy Baja",AA256="Menor"),AND(Y256="Baja",AA256="Leve")),"Bajo",IF(OR(AND(Y256="Muy baja",AA256="Moderado"),AND(Y256="Baja",AA256="Menor"),AND(Y256="Baja",AA256="Moderado"),AND(Y256="Media",AA256="Leve"),AND(Y256="Media",AA256="Menor"),AND(Y256="Media",AA256="Moderado"),AND(Y256="Alta",AA256="Leve"),AND(Y256="Alta",AA256="Menor")),"Moderado",IF(OR(AND(Y256="Muy Baja",AA256="Mayor"),AND(Y256="Baja",AA256="Mayor"),AND(Y256="Media",AA256="Mayor"),AND(Y256="Alta",AA256="Moderado"),AND(Y256="Alta",AA256="Mayor"),AND(Y256="Muy Alta",AA256="Leve"),AND(Y256="Muy Alta",AA256="Menor"),AND(Y256="Muy Alta",AA256="Moderado"),AND(Y256="Muy Alta",AA256="Mayor")),"Alto",IF(OR(AND(Y256="Muy Baja",AA256="Catastrófico"),AND(Y256="Baja",AA256="Catastrófico"),AND(Y256="Media",AA256="Catastrófico"),AND(Y256="Alta",AA256="Catastrófico"),AND(Y256="Muy Alta",AA256="Catastrófico")),"Extremo","")))),"")</f>
        <v>Bajo</v>
      </c>
      <c r="AD256" s="202" t="s">
        <v>135</v>
      </c>
      <c r="AE256" s="132"/>
      <c r="AF256" s="133"/>
      <c r="AG256" s="134"/>
      <c r="AH256" s="134"/>
      <c r="AI256" s="132"/>
      <c r="AJ256" s="133"/>
    </row>
    <row r="257" spans="1:68" ht="83.25" customHeight="1" x14ac:dyDescent="0.3">
      <c r="A257" s="222"/>
      <c r="B257" s="224"/>
      <c r="C257" s="224"/>
      <c r="D257" s="224"/>
      <c r="E257" s="227"/>
      <c r="F257" s="224"/>
      <c r="G257" s="254"/>
      <c r="H257" s="242"/>
      <c r="I257" s="233"/>
      <c r="J257" s="236"/>
      <c r="K257" s="239">
        <f ca="1">IF(NOT(ISERROR(MATCH(J257,_xlfn.ANCHORARRAY(#REF!),0))),#REF!&amp;"Por favor no seleccionar los criterios de impacto",J257)</f>
        <v>0</v>
      </c>
      <c r="L257" s="242"/>
      <c r="M257" s="233"/>
      <c r="N257" s="230"/>
      <c r="O257" s="138">
        <v>2</v>
      </c>
      <c r="P257" s="219"/>
      <c r="Q257" s="221"/>
      <c r="R257" s="203"/>
      <c r="S257" s="203"/>
      <c r="T257" s="201"/>
      <c r="U257" s="203"/>
      <c r="V257" s="203"/>
      <c r="W257" s="203"/>
      <c r="X257" s="127" t="str">
        <f>IFERROR(IF(AND(Q256="Probabilidad",Q257="Probabilidad"),(Z256-(+Z256*T257)),IF(Q257="Probabilidad",(I256-(+I256*T257)),IF(Q257="Impacto",Z256,""))),"")</f>
        <v/>
      </c>
      <c r="Y257" s="205"/>
      <c r="Z257" s="201"/>
      <c r="AA257" s="205"/>
      <c r="AB257" s="207"/>
      <c r="AC257" s="209"/>
      <c r="AD257" s="203"/>
      <c r="AE257" s="132"/>
      <c r="AF257" s="133"/>
      <c r="AG257" s="134"/>
      <c r="AH257" s="134"/>
      <c r="AI257" s="132"/>
      <c r="AJ257" s="133"/>
    </row>
    <row r="258" spans="1:68" hidden="1" x14ac:dyDescent="0.3">
      <c r="A258" s="222"/>
      <c r="B258" s="224"/>
      <c r="C258" s="224"/>
      <c r="D258" s="224"/>
      <c r="E258" s="227"/>
      <c r="F258" s="224"/>
      <c r="G258" s="254"/>
      <c r="H258" s="242"/>
      <c r="I258" s="233"/>
      <c r="J258" s="236"/>
      <c r="K258" s="239">
        <f ca="1">IF(NOT(ISERROR(MATCH(J258,_xlfn.ANCHORARRAY(#REF!),0))),I268&amp;"Por favor no seleccionar los criterios de impacto",J258)</f>
        <v>0</v>
      </c>
      <c r="L258" s="242"/>
      <c r="M258" s="233"/>
      <c r="N258" s="230"/>
      <c r="O258" s="138">
        <v>3</v>
      </c>
      <c r="P258" s="135"/>
      <c r="Q258" s="124" t="str">
        <f>IF(OR(R258="Preventivo",R258="Detectivo"),"Probabilidad",IF(R258="Correctivo","Impacto",""))</f>
        <v/>
      </c>
      <c r="R258" s="125"/>
      <c r="S258" s="125"/>
      <c r="T258" s="126" t="str">
        <f t="shared" ref="T258:T261" si="213">IF(AND(R258="Preventivo",S258="Automático"),"50%",IF(AND(R258="Preventivo",S258="Manual"),"40%",IF(AND(R258="Detectivo",S258="Automático"),"40%",IF(AND(R258="Detectivo",S258="Manual"),"30%",IF(AND(R258="Correctivo",S258="Automático"),"35%",IF(AND(R258="Correctivo",S258="Manual"),"25%",""))))))</f>
        <v/>
      </c>
      <c r="U258" s="125"/>
      <c r="V258" s="125"/>
      <c r="W258" s="125"/>
      <c r="X258" s="127" t="str">
        <f>IFERROR(IF(AND(Q257="Probabilidad",Q258="Probabilidad"),(Z257-(+Z257*T258)),IF(AND(Q257="Impacto",Q258="Probabilidad"),(Z256-(+Z256*T258)),IF(Q258="Impacto",Z257,""))),"")</f>
        <v/>
      </c>
      <c r="Y258" s="128" t="str">
        <f t="shared" si="191"/>
        <v/>
      </c>
      <c r="Z258" s="129" t="str">
        <f t="shared" ref="Z258:Z261" si="214">+X258</f>
        <v/>
      </c>
      <c r="AA258" s="128" t="str">
        <f t="shared" si="193"/>
        <v/>
      </c>
      <c r="AB258" s="137" t="str">
        <f>IFERROR(IF(AND(Q257="Impacto",Q258="Impacto"),(AB257-(+AB257*T258)),IF(AND(Q257="Probabilidad",Q258="Impacto"),(AB256-(+AB256*T258)),IF(Q258="Probabilidad",AB257,""))),"")</f>
        <v/>
      </c>
      <c r="AC258" s="130" t="str">
        <f t="shared" ref="AC258" si="215">IFERROR(IF(OR(AND(Y258="Muy Baja",AA258="Leve"),AND(Y258="Muy Baja",AA258="Menor"),AND(Y258="Baja",AA258="Leve")),"Bajo",IF(OR(AND(Y258="Muy baja",AA258="Moderado"),AND(Y258="Baja",AA258="Menor"),AND(Y258="Baja",AA258="Moderado"),AND(Y258="Media",AA258="Leve"),AND(Y258="Media",AA258="Menor"),AND(Y258="Media",AA258="Moderado"),AND(Y258="Alta",AA258="Leve"),AND(Y258="Alta",AA258="Menor")),"Moderado",IF(OR(AND(Y258="Muy Baja",AA258="Mayor"),AND(Y258="Baja",AA258="Mayor"),AND(Y258="Media",AA258="Mayor"),AND(Y258="Alta",AA258="Moderado"),AND(Y258="Alta",AA258="Mayor"),AND(Y258="Muy Alta",AA258="Leve"),AND(Y258="Muy Alta",AA258="Menor"),AND(Y258="Muy Alta",AA258="Moderado"),AND(Y258="Muy Alta",AA258="Mayor")),"Alto",IF(OR(AND(Y258="Muy Baja",AA258="Catastrófico"),AND(Y258="Baja",AA258="Catastrófico"),AND(Y258="Media",AA258="Catastrófico"),AND(Y258="Alta",AA258="Catastrófico"),AND(Y258="Muy Alta",AA258="Catastrófico")),"Extremo","")))),"")</f>
        <v/>
      </c>
      <c r="AD258" s="131"/>
      <c r="AE258" s="132"/>
      <c r="AF258" s="133"/>
      <c r="AG258" s="134"/>
      <c r="AH258" s="134"/>
      <c r="AI258" s="132"/>
      <c r="AJ258" s="133"/>
    </row>
    <row r="259" spans="1:68" hidden="1" x14ac:dyDescent="0.3">
      <c r="A259" s="222"/>
      <c r="B259" s="224"/>
      <c r="C259" s="224"/>
      <c r="D259" s="224"/>
      <c r="E259" s="227"/>
      <c r="F259" s="224"/>
      <c r="G259" s="254"/>
      <c r="H259" s="242"/>
      <c r="I259" s="233"/>
      <c r="J259" s="236"/>
      <c r="K259" s="239">
        <f ca="1">IF(NOT(ISERROR(MATCH(J259,_xlfn.ANCHORARRAY(#REF!),0))),#REF!&amp;"Por favor no seleccionar los criterios de impacto",J259)</f>
        <v>0</v>
      </c>
      <c r="L259" s="242"/>
      <c r="M259" s="233"/>
      <c r="N259" s="230"/>
      <c r="O259" s="138">
        <v>4</v>
      </c>
      <c r="P259" s="123"/>
      <c r="Q259" s="124" t="str">
        <f t="shared" ref="Q259:Q261" si="216">IF(OR(R259="Preventivo",R259="Detectivo"),"Probabilidad",IF(R259="Correctivo","Impacto",""))</f>
        <v/>
      </c>
      <c r="R259" s="125"/>
      <c r="S259" s="125"/>
      <c r="T259" s="126" t="str">
        <f t="shared" si="213"/>
        <v/>
      </c>
      <c r="U259" s="125"/>
      <c r="V259" s="125"/>
      <c r="W259" s="125"/>
      <c r="X259" s="127" t="str">
        <f t="shared" ref="X259:X261" si="217">IFERROR(IF(AND(Q258="Probabilidad",Q259="Probabilidad"),(Z258-(+Z258*T259)),IF(AND(Q258="Impacto",Q259="Probabilidad"),(Z257-(+Z257*T259)),IF(Q259="Impacto",Z258,""))),"")</f>
        <v/>
      </c>
      <c r="Y259" s="128" t="str">
        <f t="shared" si="191"/>
        <v/>
      </c>
      <c r="Z259" s="129" t="str">
        <f t="shared" si="214"/>
        <v/>
      </c>
      <c r="AA259" s="128" t="str">
        <f t="shared" si="193"/>
        <v/>
      </c>
      <c r="AB259" s="137" t="str">
        <f t="shared" ref="AB259:AB261" si="218">IFERROR(IF(AND(Q258="Impacto",Q259="Impacto"),(AB258-(+AB258*T259)),IF(AND(Q258="Probabilidad",Q259="Impacto"),(AB257-(+AB257*T259)),IF(Q259="Probabilidad",AB258,""))),"")</f>
        <v/>
      </c>
      <c r="AC259" s="130" t="str">
        <f>IFERROR(IF(OR(AND(Y259="Muy Baja",AA259="Leve"),AND(Y259="Muy Baja",AA259="Menor"),AND(Y259="Baja",AA259="Leve")),"Bajo",IF(OR(AND(Y259="Muy baja",AA259="Moderado"),AND(Y259="Baja",AA259="Menor"),AND(Y259="Baja",AA259="Moderado"),AND(Y259="Media",AA259="Leve"),AND(Y259="Media",AA259="Menor"),AND(Y259="Media",AA259="Moderado"),AND(Y259="Alta",AA259="Leve"),AND(Y259="Alta",AA259="Menor")),"Moderado",IF(OR(AND(Y259="Muy Baja",AA259="Mayor"),AND(Y259="Baja",AA259="Mayor"),AND(Y259="Media",AA259="Mayor"),AND(Y259="Alta",AA259="Moderado"),AND(Y259="Alta",AA259="Mayor"),AND(Y259="Muy Alta",AA259="Leve"),AND(Y259="Muy Alta",AA259="Menor"),AND(Y259="Muy Alta",AA259="Moderado"),AND(Y259="Muy Alta",AA259="Mayor")),"Alto",IF(OR(AND(Y259="Muy Baja",AA259="Catastrófico"),AND(Y259="Baja",AA259="Catastrófico"),AND(Y259="Media",AA259="Catastrófico"),AND(Y259="Alta",AA259="Catastrófico"),AND(Y259="Muy Alta",AA259="Catastrófico")),"Extremo","")))),"")</f>
        <v/>
      </c>
      <c r="AD259" s="131"/>
      <c r="AE259" s="132"/>
      <c r="AF259" s="133"/>
      <c r="AG259" s="134"/>
      <c r="AH259" s="134"/>
      <c r="AI259" s="132"/>
      <c r="AJ259" s="133"/>
    </row>
    <row r="260" spans="1:68" hidden="1" x14ac:dyDescent="0.3">
      <c r="A260" s="222"/>
      <c r="B260" s="224"/>
      <c r="C260" s="224"/>
      <c r="D260" s="224"/>
      <c r="E260" s="227"/>
      <c r="F260" s="224"/>
      <c r="G260" s="254"/>
      <c r="H260" s="242"/>
      <c r="I260" s="233"/>
      <c r="J260" s="236"/>
      <c r="K260" s="239">
        <f ca="1">IF(NOT(ISERROR(MATCH(J260,_xlfn.ANCHORARRAY(E268),0))),#REF!&amp;"Por favor no seleccionar los criterios de impacto",J260)</f>
        <v>0</v>
      </c>
      <c r="L260" s="242"/>
      <c r="M260" s="233"/>
      <c r="N260" s="230"/>
      <c r="O260" s="138">
        <v>5</v>
      </c>
      <c r="P260" s="123"/>
      <c r="Q260" s="124" t="str">
        <f t="shared" si="216"/>
        <v/>
      </c>
      <c r="R260" s="125"/>
      <c r="S260" s="125"/>
      <c r="T260" s="126" t="str">
        <f t="shared" si="213"/>
        <v/>
      </c>
      <c r="U260" s="125"/>
      <c r="V260" s="125"/>
      <c r="W260" s="125"/>
      <c r="X260" s="136" t="str">
        <f t="shared" si="217"/>
        <v/>
      </c>
      <c r="Y260" s="128" t="str">
        <f>IFERROR(IF(X260="","",IF(X260&lt;=0.2,"Muy Baja",IF(X260&lt;=0.4,"Baja",IF(X260&lt;=0.6,"Media",IF(X260&lt;=0.8,"Alta","Muy Alta"))))),"")</f>
        <v/>
      </c>
      <c r="Z260" s="129" t="str">
        <f t="shared" si="214"/>
        <v/>
      </c>
      <c r="AA260" s="128" t="str">
        <f t="shared" si="193"/>
        <v/>
      </c>
      <c r="AB260" s="137" t="str">
        <f t="shared" si="218"/>
        <v/>
      </c>
      <c r="AC260" s="130" t="str">
        <f t="shared" ref="AC260:AC261" si="219">IFERROR(IF(OR(AND(Y260="Muy Baja",AA260="Leve"),AND(Y260="Muy Baja",AA260="Menor"),AND(Y260="Baja",AA260="Leve")),"Bajo",IF(OR(AND(Y260="Muy baja",AA260="Moderado"),AND(Y260="Baja",AA260="Menor"),AND(Y260="Baja",AA260="Moderado"),AND(Y260="Media",AA260="Leve"),AND(Y260="Media",AA260="Menor"),AND(Y260="Media",AA260="Moderado"),AND(Y260="Alta",AA260="Leve"),AND(Y260="Alta",AA260="Menor")),"Moderado",IF(OR(AND(Y260="Muy Baja",AA260="Mayor"),AND(Y260="Baja",AA260="Mayor"),AND(Y260="Media",AA260="Mayor"),AND(Y260="Alta",AA260="Moderado"),AND(Y260="Alta",AA260="Mayor"),AND(Y260="Muy Alta",AA260="Leve"),AND(Y260="Muy Alta",AA260="Menor"),AND(Y260="Muy Alta",AA260="Moderado"),AND(Y260="Muy Alta",AA260="Mayor")),"Alto",IF(OR(AND(Y260="Muy Baja",AA260="Catastrófico"),AND(Y260="Baja",AA260="Catastrófico"),AND(Y260="Media",AA260="Catastrófico"),AND(Y260="Alta",AA260="Catastrófico"),AND(Y260="Muy Alta",AA260="Catastrófico")),"Extremo","")))),"")</f>
        <v/>
      </c>
      <c r="AD260" s="131"/>
      <c r="AE260" s="132"/>
      <c r="AF260" s="133"/>
      <c r="AG260" s="134"/>
      <c r="AH260" s="134"/>
      <c r="AI260" s="132"/>
      <c r="AJ260" s="133"/>
    </row>
    <row r="261" spans="1:68" hidden="1" x14ac:dyDescent="0.3">
      <c r="A261" s="211"/>
      <c r="B261" s="225"/>
      <c r="C261" s="225"/>
      <c r="D261" s="225"/>
      <c r="E261" s="228"/>
      <c r="F261" s="225"/>
      <c r="G261" s="255"/>
      <c r="H261" s="243"/>
      <c r="I261" s="234"/>
      <c r="J261" s="237"/>
      <c r="K261" s="240">
        <f ca="1">IF(NOT(ISERROR(MATCH(J261,_xlfn.ANCHORARRAY(#REF!),0))),#REF!&amp;"Por favor no seleccionar los criterios de impacto",J261)</f>
        <v>0</v>
      </c>
      <c r="L261" s="243"/>
      <c r="M261" s="234"/>
      <c r="N261" s="231"/>
      <c r="O261" s="138">
        <v>6</v>
      </c>
      <c r="P261" s="123"/>
      <c r="Q261" s="124" t="str">
        <f t="shared" si="216"/>
        <v/>
      </c>
      <c r="R261" s="125"/>
      <c r="S261" s="125"/>
      <c r="T261" s="126" t="str">
        <f t="shared" si="213"/>
        <v/>
      </c>
      <c r="U261" s="125"/>
      <c r="V261" s="125"/>
      <c r="W261" s="125"/>
      <c r="X261" s="127" t="str">
        <f t="shared" si="217"/>
        <v/>
      </c>
      <c r="Y261" s="128" t="str">
        <f t="shared" si="191"/>
        <v/>
      </c>
      <c r="Z261" s="129" t="str">
        <f t="shared" si="214"/>
        <v/>
      </c>
      <c r="AA261" s="128" t="str">
        <f t="shared" si="193"/>
        <v/>
      </c>
      <c r="AB261" s="137" t="str">
        <f t="shared" si="218"/>
        <v/>
      </c>
      <c r="AC261" s="130" t="str">
        <f t="shared" si="219"/>
        <v/>
      </c>
      <c r="AD261" s="131"/>
      <c r="AE261" s="132"/>
      <c r="AF261" s="133"/>
      <c r="AG261" s="134"/>
      <c r="AH261" s="134"/>
      <c r="AI261" s="132"/>
      <c r="AJ261" s="133"/>
    </row>
    <row r="262" spans="1:68" ht="143.25" customHeight="1" x14ac:dyDescent="0.3">
      <c r="A262" s="210">
        <v>5</v>
      </c>
      <c r="B262" s="223" t="s">
        <v>133</v>
      </c>
      <c r="C262" s="223" t="s">
        <v>335</v>
      </c>
      <c r="D262" s="223" t="s">
        <v>336</v>
      </c>
      <c r="E262" s="226" t="s">
        <v>337</v>
      </c>
      <c r="F262" s="223" t="s">
        <v>123</v>
      </c>
      <c r="G262" s="253">
        <v>1</v>
      </c>
      <c r="H262" s="241" t="str">
        <f>IF(G262&lt;=0,"",IF(G262&lt;=2,"Muy Baja",IF(G262&lt;=24,"Baja",IF(G262&lt;=500,"Media",IF(G262&lt;=5000,"Alta","Muy Alta")))))</f>
        <v>Muy Baja</v>
      </c>
      <c r="I262" s="232">
        <f>IF(H262="","",IF(H262="Muy Baja",0.2,IF(H262="Baja",0.4,IF(H262="Media",0.6,IF(H262="Alta",0.8,IF(H262="Muy Alta",1,))))))</f>
        <v>0.2</v>
      </c>
      <c r="J262" s="235" t="s">
        <v>143</v>
      </c>
      <c r="K262" s="232" t="str">
        <f>IF(NOT(ISERROR(MATCH(J262,'[8]Tabla Impacto'!$B$221:$B$223,0))),'[8]Tabla Impacto'!$F$223&amp;"Por favor no seleccionar los criterios de impacto(Afectación Económica o presupuestal y Pérdida Reputacional)",J262)</f>
        <v xml:space="preserve">     Afectación menor a 10 SMLMV .</v>
      </c>
      <c r="L262" s="241" t="str">
        <f>IF(OR(K262='[8]Tabla Impacto'!$C$11,K262='[8]Tabla Impacto'!$D$11),"Leve",IF(OR(K262='[8]Tabla Impacto'!$C$12,K262='[8]Tabla Impacto'!$D$12),"Menor",IF(OR(K262='[8]Tabla Impacto'!$C$13,K262='[8]Tabla Impacto'!$D$13),"Moderado",IF(OR(K262='[8]Tabla Impacto'!$C$14,K262='[8]Tabla Impacto'!$D$14),"Mayor",IF(OR(K262='[8]Tabla Impacto'!$C$15,K262='[8]Tabla Impacto'!$D$15),"Catastrófico","")))))</f>
        <v>Leve</v>
      </c>
      <c r="M262" s="232">
        <f>IF(L262="","",IF(L262="Leve",0.2,IF(L262="Menor",0.4,IF(L262="Moderado",0.6,IF(L262="Mayor",0.8,IF(L262="Catastrófico",1,))))))</f>
        <v>0.2</v>
      </c>
      <c r="N262" s="229" t="str">
        <f>IF(OR(AND(H262="Muy Baja",L262="Leve"),AND(H262="Muy Baja",L262="Menor"),AND(H262="Baja",L262="Leve")),"Bajo",IF(OR(AND(H262="Muy baja",L262="Moderado"),AND(H262="Baja",L262="Menor"),AND(H262="Baja",L262="Moderado"),AND(H262="Media",L262="Leve"),AND(H262="Media",L262="Menor"),AND(H262="Media",L262="Moderado"),AND(H262="Alta",L262="Leve"),AND(H262="Alta",L262="Menor")),"Moderado",IF(OR(AND(H262="Muy Baja",L262="Mayor"),AND(H262="Baja",L262="Mayor"),AND(H262="Media",L262="Mayor"),AND(H262="Alta",L262="Moderado"),AND(H262="Alta",L262="Mayor"),AND(H262="Muy Alta",L262="Leve"),AND(H262="Muy Alta",L262="Menor"),AND(H262="Muy Alta",L262="Moderado"),AND(H262="Muy Alta",L262="Mayor")),"Alto",IF(OR(AND(H262="Muy Baja",L262="Catastrófico"),AND(H262="Baja",L262="Catastrófico"),AND(H262="Media",L262="Catastrófico"),AND(H262="Alta",L262="Catastrófico"),AND(H262="Muy Alta",L262="Catastrófico")),"Extremo",""))))</f>
        <v>Bajo</v>
      </c>
      <c r="O262" s="138">
        <v>1</v>
      </c>
      <c r="P262" s="154" t="s">
        <v>338</v>
      </c>
      <c r="Q262" s="153" t="str">
        <f>IF(OR(R262="Preventivo",R262="Detectivo"),"Probabilidad",IF(R262="Correctivo","Impacto",""))</f>
        <v>Probabilidad</v>
      </c>
      <c r="R262" s="155" t="s">
        <v>14</v>
      </c>
      <c r="S262" s="155" t="s">
        <v>9</v>
      </c>
      <c r="T262" s="156" t="str">
        <f>IF(AND(R262="Preventivo",S262="Automático"),"50%",IF(AND(R262="Preventivo",S262="Manual"),"40%",IF(AND(R262="Detectivo",S262="Automático"),"40%",IF(AND(R262="Detectivo",S262="Manual"),"30%",IF(AND(R262="Correctivo",S262="Automático"),"35%",IF(AND(R262="Correctivo",S262="Manual"),"25%",""))))))</f>
        <v>40%</v>
      </c>
      <c r="U262" s="155" t="s">
        <v>19</v>
      </c>
      <c r="V262" s="155" t="s">
        <v>22</v>
      </c>
      <c r="W262" s="155" t="s">
        <v>119</v>
      </c>
      <c r="X262" s="139">
        <f>IFERROR(IF(Q262="Probabilidad",(I262-(+I262*T262)),IF(Q262="Impacto",I262,"")),"")</f>
        <v>0.12</v>
      </c>
      <c r="Y262" s="157" t="str">
        <f>IFERROR(IF(X262="","",IF(X262&lt;=0.2,"Muy Baja",IF(X262&lt;=0.4,"Baja",IF(X262&lt;=0.6,"Media",IF(X262&lt;=0.8,"Alta","Muy Alta"))))),"")</f>
        <v>Muy Baja</v>
      </c>
      <c r="Z262" s="141">
        <f>+X262</f>
        <v>0.12</v>
      </c>
      <c r="AA262" s="157" t="str">
        <f>IFERROR(IF(AB262="","",IF(AB262&lt;=0.2,"Leve",IF(AB262&lt;=0.4,"Menor",IF(AB262&lt;=0.6,"Moderado",IF(AB262&lt;=0.8,"Mayor","Catastrófico"))))),"")</f>
        <v>Leve</v>
      </c>
      <c r="AB262" s="143">
        <f>IFERROR(IF(Q262="Impacto",(M262-(+M262*T262)),IF(Q262="Probabilidad",M262,"")),"")</f>
        <v>0.2</v>
      </c>
      <c r="AC262" s="158" t="str">
        <f>IFERROR(IF(OR(AND(Y262="Muy Baja",AA262="Leve"),AND(Y262="Muy Baja",AA262="Menor"),AND(Y262="Baja",AA262="Leve")),"Bajo",IF(OR(AND(Y262="Muy baja",AA262="Moderado"),AND(Y262="Baja",AA262="Menor"),AND(Y262="Baja",AA262="Moderado"),AND(Y262="Media",AA262="Leve"),AND(Y262="Media",AA262="Menor"),AND(Y262="Media",AA262="Moderado"),AND(Y262="Alta",AA262="Leve"),AND(Y262="Alta",AA262="Menor")),"Moderado",IF(OR(AND(Y262="Muy Baja",AA262="Mayor"),AND(Y262="Baja",AA262="Mayor"),AND(Y262="Media",AA262="Mayor"),AND(Y262="Alta",AA262="Moderado"),AND(Y262="Alta",AA262="Mayor"),AND(Y262="Muy Alta",AA262="Leve"),AND(Y262="Muy Alta",AA262="Menor"),AND(Y262="Muy Alta",AA262="Moderado"),AND(Y262="Muy Alta",AA262="Mayor")),"Alto",IF(OR(AND(Y262="Muy Baja",AA262="Catastrófico"),AND(Y262="Baja",AA262="Catastrófico"),AND(Y262="Media",AA262="Catastrófico"),AND(Y262="Alta",AA262="Catastrófico"),AND(Y262="Muy Alta",AA262="Catastrófico")),"Extremo","")))),"")</f>
        <v>Bajo</v>
      </c>
      <c r="AD262" s="140" t="s">
        <v>32</v>
      </c>
      <c r="AE262" s="132"/>
      <c r="AF262" s="133"/>
      <c r="AG262" s="134"/>
      <c r="AH262" s="134"/>
      <c r="AI262" s="132"/>
      <c r="AJ262" s="133"/>
    </row>
    <row r="263" spans="1:68" hidden="1" x14ac:dyDescent="0.3">
      <c r="A263" s="222"/>
      <c r="B263" s="224"/>
      <c r="C263" s="224"/>
      <c r="D263" s="224"/>
      <c r="E263" s="227"/>
      <c r="F263" s="224"/>
      <c r="G263" s="254"/>
      <c r="H263" s="242"/>
      <c r="I263" s="233"/>
      <c r="J263" s="236"/>
      <c r="K263" s="233">
        <f ca="1">IF(NOT(ISERROR(MATCH(J263,_xlfn.ANCHORARRAY(#REF!),0))),#REF!&amp;"Por favor no seleccionar los criterios de impacto",J263)</f>
        <v>0</v>
      </c>
      <c r="L263" s="242"/>
      <c r="M263" s="233"/>
      <c r="N263" s="230"/>
      <c r="O263" s="138">
        <v>2</v>
      </c>
      <c r="P263" s="123"/>
      <c r="Q263" s="124" t="str">
        <f>IF(OR(R263="Preventivo",R263="Detectivo"),"Probabilidad",IF(R263="Correctivo","Impacto",""))</f>
        <v/>
      </c>
      <c r="R263" s="125"/>
      <c r="S263" s="125"/>
      <c r="T263" s="126" t="str">
        <f t="shared" ref="T263:T267" si="220">IF(AND(R263="Preventivo",S263="Automático"),"50%",IF(AND(R263="Preventivo",S263="Manual"),"40%",IF(AND(R263="Detectivo",S263="Automático"),"40%",IF(AND(R263="Detectivo",S263="Manual"),"30%",IF(AND(R263="Correctivo",S263="Automático"),"35%",IF(AND(R263="Correctivo",S263="Manual"),"25%",""))))))</f>
        <v/>
      </c>
      <c r="U263" s="125"/>
      <c r="V263" s="125"/>
      <c r="W263" s="125"/>
      <c r="X263" s="127" t="str">
        <f>IFERROR(IF(AND(Q262="Probabilidad",Q263="Probabilidad"),(Z262-(+Z262*T263)),IF(Q263="Probabilidad",(I262-(+I262*T263)),IF(Q263="Impacto",Z262,""))),"")</f>
        <v/>
      </c>
      <c r="Y263" s="128" t="str">
        <f t="shared" si="191"/>
        <v/>
      </c>
      <c r="Z263" s="129" t="str">
        <f t="shared" ref="Z263:Z267" si="221">+X263</f>
        <v/>
      </c>
      <c r="AA263" s="128" t="str">
        <f t="shared" si="193"/>
        <v/>
      </c>
      <c r="AB263" s="137" t="str">
        <f>IFERROR(IF(AND(Q262="Impacto",Q263="Impacto"),(AB262-(+AB262*T263)),IF(Q263="Impacto",(M262-(+M262*T263)),IF(Q263="Probabilidad",AB262,""))),"")</f>
        <v/>
      </c>
      <c r="AC263" s="130" t="str">
        <f t="shared" ref="AC263:AC264" si="222">IFERROR(IF(OR(AND(Y263="Muy Baja",AA263="Leve"),AND(Y263="Muy Baja",AA263="Menor"),AND(Y263="Baja",AA263="Leve")),"Bajo",IF(OR(AND(Y263="Muy baja",AA263="Moderado"),AND(Y263="Baja",AA263="Menor"),AND(Y263="Baja",AA263="Moderado"),AND(Y263="Media",AA263="Leve"),AND(Y263="Media",AA263="Menor"),AND(Y263="Media",AA263="Moderado"),AND(Y263="Alta",AA263="Leve"),AND(Y263="Alta",AA263="Menor")),"Moderado",IF(OR(AND(Y263="Muy Baja",AA263="Mayor"),AND(Y263="Baja",AA263="Mayor"),AND(Y263="Media",AA263="Mayor"),AND(Y263="Alta",AA263="Moderado"),AND(Y263="Alta",AA263="Mayor"),AND(Y263="Muy Alta",AA263="Leve"),AND(Y263="Muy Alta",AA263="Menor"),AND(Y263="Muy Alta",AA263="Moderado"),AND(Y263="Muy Alta",AA263="Mayor")),"Alto",IF(OR(AND(Y263="Muy Baja",AA263="Catastrófico"),AND(Y263="Baja",AA263="Catastrófico"),AND(Y263="Media",AA263="Catastrófico"),AND(Y263="Alta",AA263="Catastrófico"),AND(Y263="Muy Alta",AA263="Catastrófico")),"Extremo","")))),"")</f>
        <v/>
      </c>
      <c r="AD263" s="131"/>
      <c r="AE263" s="132"/>
      <c r="AF263" s="133"/>
      <c r="AG263" s="134"/>
      <c r="AH263" s="134"/>
      <c r="AI263" s="159"/>
      <c r="AJ263" s="133"/>
    </row>
    <row r="264" spans="1:68" hidden="1" x14ac:dyDescent="0.3">
      <c r="A264" s="222"/>
      <c r="B264" s="224"/>
      <c r="C264" s="224"/>
      <c r="D264" s="224"/>
      <c r="E264" s="227"/>
      <c r="F264" s="224"/>
      <c r="G264" s="254"/>
      <c r="H264" s="242"/>
      <c r="I264" s="233"/>
      <c r="J264" s="236"/>
      <c r="K264" s="233">
        <f ca="1">IF(NOT(ISERROR(MATCH(J264,_xlfn.ANCHORARRAY(#REF!),0))),#REF!&amp;"Por favor no seleccionar los criterios de impacto",J264)</f>
        <v>0</v>
      </c>
      <c r="L264" s="242"/>
      <c r="M264" s="233"/>
      <c r="N264" s="230"/>
      <c r="O264" s="138">
        <v>3</v>
      </c>
      <c r="P264" s="135"/>
      <c r="Q264" s="124" t="str">
        <f>IF(OR(R264="Preventivo",R264="Detectivo"),"Probabilidad",IF(R264="Correctivo","Impacto",""))</f>
        <v/>
      </c>
      <c r="R264" s="125"/>
      <c r="S264" s="125"/>
      <c r="T264" s="126" t="str">
        <f t="shared" si="220"/>
        <v/>
      </c>
      <c r="U264" s="125"/>
      <c r="V264" s="125"/>
      <c r="W264" s="125"/>
      <c r="X264" s="127" t="str">
        <f>IFERROR(IF(AND(Q263="Probabilidad",Q264="Probabilidad"),(Z263-(+Z263*T264)),IF(AND(Q263="Impacto",Q264="Probabilidad"),(Z262-(+Z262*T264)),IF(Q264="Impacto",Z263,""))),"")</f>
        <v/>
      </c>
      <c r="Y264" s="128" t="str">
        <f t="shared" si="191"/>
        <v/>
      </c>
      <c r="Z264" s="129" t="str">
        <f t="shared" si="221"/>
        <v/>
      </c>
      <c r="AA264" s="128" t="str">
        <f t="shared" si="193"/>
        <v/>
      </c>
      <c r="AB264" s="137" t="str">
        <f>IFERROR(IF(AND(Q263="Impacto",Q264="Impacto"),(AB263-(+AB263*T264)),IF(AND(Q263="Probabilidad",Q264="Impacto"),(AB262-(+AB262*T264)),IF(Q264="Probabilidad",AB263,""))),"")</f>
        <v/>
      </c>
      <c r="AC264" s="130" t="str">
        <f t="shared" si="222"/>
        <v/>
      </c>
      <c r="AD264" s="131"/>
      <c r="AE264" s="132"/>
      <c r="AF264" s="133"/>
      <c r="AG264" s="134"/>
      <c r="AH264" s="134"/>
      <c r="AI264" s="132"/>
      <c r="AJ264" s="133"/>
    </row>
    <row r="265" spans="1:68" hidden="1" x14ac:dyDescent="0.3">
      <c r="A265" s="222"/>
      <c r="B265" s="224"/>
      <c r="C265" s="224"/>
      <c r="D265" s="224"/>
      <c r="E265" s="227"/>
      <c r="F265" s="224"/>
      <c r="G265" s="254"/>
      <c r="H265" s="242"/>
      <c r="I265" s="233"/>
      <c r="J265" s="236"/>
      <c r="K265" s="233">
        <f ca="1">IF(NOT(ISERROR(MATCH(J265,_xlfn.ANCHORARRAY(#REF!),0))),#REF!&amp;"Por favor no seleccionar los criterios de impacto",J265)</f>
        <v>0</v>
      </c>
      <c r="L265" s="242"/>
      <c r="M265" s="233"/>
      <c r="N265" s="230"/>
      <c r="O265" s="138">
        <v>4</v>
      </c>
      <c r="P265" s="123"/>
      <c r="Q265" s="124" t="str">
        <f t="shared" ref="Q265:Q267" si="223">IF(OR(R265="Preventivo",R265="Detectivo"),"Probabilidad",IF(R265="Correctivo","Impacto",""))</f>
        <v/>
      </c>
      <c r="R265" s="125"/>
      <c r="S265" s="125"/>
      <c r="T265" s="126" t="str">
        <f t="shared" si="220"/>
        <v/>
      </c>
      <c r="U265" s="125"/>
      <c r="V265" s="125"/>
      <c r="W265" s="125"/>
      <c r="X265" s="127" t="str">
        <f t="shared" ref="X265:X267" si="224">IFERROR(IF(AND(Q264="Probabilidad",Q265="Probabilidad"),(Z264-(+Z264*T265)),IF(AND(Q264="Impacto",Q265="Probabilidad"),(Z263-(+Z263*T265)),IF(Q265="Impacto",Z264,""))),"")</f>
        <v/>
      </c>
      <c r="Y265" s="128" t="str">
        <f t="shared" si="191"/>
        <v/>
      </c>
      <c r="Z265" s="129" t="str">
        <f t="shared" si="221"/>
        <v/>
      </c>
      <c r="AA265" s="128" t="str">
        <f t="shared" si="193"/>
        <v/>
      </c>
      <c r="AB265" s="137" t="str">
        <f t="shared" ref="AB265:AB267" si="225">IFERROR(IF(AND(Q264="Impacto",Q265="Impacto"),(AB264-(+AB264*T265)),IF(AND(Q264="Probabilidad",Q265="Impacto"),(AB263-(+AB263*T265)),IF(Q265="Probabilidad",AB264,""))),"")</f>
        <v/>
      </c>
      <c r="AC265" s="130" t="str">
        <f>IFERROR(IF(OR(AND(Y265="Muy Baja",AA265="Leve"),AND(Y265="Muy Baja",AA265="Menor"),AND(Y265="Baja",AA265="Leve")),"Bajo",IF(OR(AND(Y265="Muy baja",AA265="Moderado"),AND(Y265="Baja",AA265="Menor"),AND(Y265="Baja",AA265="Moderado"),AND(Y265="Media",AA265="Leve"),AND(Y265="Media",AA265="Menor"),AND(Y265="Media",AA265="Moderado"),AND(Y265="Alta",AA265="Leve"),AND(Y265="Alta",AA265="Menor")),"Moderado",IF(OR(AND(Y265="Muy Baja",AA265="Mayor"),AND(Y265="Baja",AA265="Mayor"),AND(Y265="Media",AA265="Mayor"),AND(Y265="Alta",AA265="Moderado"),AND(Y265="Alta",AA265="Mayor"),AND(Y265="Muy Alta",AA265="Leve"),AND(Y265="Muy Alta",AA265="Menor"),AND(Y265="Muy Alta",AA265="Moderado"),AND(Y265="Muy Alta",AA265="Mayor")),"Alto",IF(OR(AND(Y265="Muy Baja",AA265="Catastrófico"),AND(Y265="Baja",AA265="Catastrófico"),AND(Y265="Media",AA265="Catastrófico"),AND(Y265="Alta",AA265="Catastrófico"),AND(Y265="Muy Alta",AA265="Catastrófico")),"Extremo","")))),"")</f>
        <v/>
      </c>
      <c r="AD265" s="131"/>
      <c r="AE265" s="132"/>
      <c r="AF265" s="133"/>
      <c r="AG265" s="134"/>
      <c r="AH265" s="134"/>
      <c r="AI265" s="132"/>
      <c r="AJ265" s="133"/>
    </row>
    <row r="266" spans="1:68" hidden="1" x14ac:dyDescent="0.3">
      <c r="A266" s="222"/>
      <c r="B266" s="224"/>
      <c r="C266" s="224"/>
      <c r="D266" s="224"/>
      <c r="E266" s="227"/>
      <c r="F266" s="224"/>
      <c r="G266" s="254"/>
      <c r="H266" s="242"/>
      <c r="I266" s="233"/>
      <c r="J266" s="236"/>
      <c r="K266" s="233">
        <f ca="1">IF(NOT(ISERROR(MATCH(J266,_xlfn.ANCHORARRAY(#REF!),0))),#REF!&amp;"Por favor no seleccionar los criterios de impacto",J266)</f>
        <v>0</v>
      </c>
      <c r="L266" s="242"/>
      <c r="M266" s="233"/>
      <c r="N266" s="230"/>
      <c r="O266" s="138">
        <v>5</v>
      </c>
      <c r="P266" s="123"/>
      <c r="Q266" s="124" t="str">
        <f t="shared" si="223"/>
        <v/>
      </c>
      <c r="R266" s="125"/>
      <c r="S266" s="125"/>
      <c r="T266" s="126" t="str">
        <f t="shared" si="220"/>
        <v/>
      </c>
      <c r="U266" s="125"/>
      <c r="V266" s="125"/>
      <c r="W266" s="125"/>
      <c r="X266" s="127" t="str">
        <f t="shared" si="224"/>
        <v/>
      </c>
      <c r="Y266" s="128" t="str">
        <f t="shared" si="191"/>
        <v/>
      </c>
      <c r="Z266" s="129" t="str">
        <f t="shared" si="221"/>
        <v/>
      </c>
      <c r="AA266" s="128" t="str">
        <f t="shared" si="193"/>
        <v/>
      </c>
      <c r="AB266" s="137" t="str">
        <f t="shared" si="225"/>
        <v/>
      </c>
      <c r="AC266" s="130" t="str">
        <f t="shared" ref="AC266:AC267" si="226">IFERROR(IF(OR(AND(Y266="Muy Baja",AA266="Leve"),AND(Y266="Muy Baja",AA266="Menor"),AND(Y266="Baja",AA266="Leve")),"Bajo",IF(OR(AND(Y266="Muy baja",AA266="Moderado"),AND(Y266="Baja",AA266="Menor"),AND(Y266="Baja",AA266="Moderado"),AND(Y266="Media",AA266="Leve"),AND(Y266="Media",AA266="Menor"),AND(Y266="Media",AA266="Moderado"),AND(Y266="Alta",AA266="Leve"),AND(Y266="Alta",AA266="Menor")),"Moderado",IF(OR(AND(Y266="Muy Baja",AA266="Mayor"),AND(Y266="Baja",AA266="Mayor"),AND(Y266="Media",AA266="Mayor"),AND(Y266="Alta",AA266="Moderado"),AND(Y266="Alta",AA266="Mayor"),AND(Y266="Muy Alta",AA266="Leve"),AND(Y266="Muy Alta",AA266="Menor"),AND(Y266="Muy Alta",AA266="Moderado"),AND(Y266="Muy Alta",AA266="Mayor")),"Alto",IF(OR(AND(Y266="Muy Baja",AA266="Catastrófico"),AND(Y266="Baja",AA266="Catastrófico"),AND(Y266="Media",AA266="Catastrófico"),AND(Y266="Alta",AA266="Catastrófico"),AND(Y266="Muy Alta",AA266="Catastrófico")),"Extremo","")))),"")</f>
        <v/>
      </c>
      <c r="AD266" s="131"/>
      <c r="AE266" s="132"/>
      <c r="AF266" s="133"/>
      <c r="AG266" s="134"/>
      <c r="AH266" s="134"/>
      <c r="AI266" s="132"/>
      <c r="AJ266" s="133"/>
    </row>
    <row r="267" spans="1:68" hidden="1" x14ac:dyDescent="0.3">
      <c r="A267" s="211"/>
      <c r="B267" s="225"/>
      <c r="C267" s="225"/>
      <c r="D267" s="225"/>
      <c r="E267" s="228"/>
      <c r="F267" s="225"/>
      <c r="G267" s="255"/>
      <c r="H267" s="243"/>
      <c r="I267" s="234"/>
      <c r="J267" s="237"/>
      <c r="K267" s="234">
        <f ca="1">IF(NOT(ISERROR(MATCH(J267,_xlfn.ANCHORARRAY(#REF!),0))),I269&amp;"Por favor no seleccionar los criterios de impacto",J267)</f>
        <v>0</v>
      </c>
      <c r="L267" s="243"/>
      <c r="M267" s="234"/>
      <c r="N267" s="231"/>
      <c r="O267" s="138">
        <v>6</v>
      </c>
      <c r="P267" s="123"/>
      <c r="Q267" s="124" t="str">
        <f t="shared" si="223"/>
        <v/>
      </c>
      <c r="R267" s="125"/>
      <c r="S267" s="125"/>
      <c r="T267" s="126" t="str">
        <f t="shared" si="220"/>
        <v/>
      </c>
      <c r="U267" s="125"/>
      <c r="V267" s="125"/>
      <c r="W267" s="125"/>
      <c r="X267" s="127" t="str">
        <f t="shared" si="224"/>
        <v/>
      </c>
      <c r="Y267" s="128" t="str">
        <f t="shared" si="191"/>
        <v/>
      </c>
      <c r="Z267" s="129" t="str">
        <f t="shared" si="221"/>
        <v/>
      </c>
      <c r="AA267" s="128" t="str">
        <f t="shared" si="193"/>
        <v/>
      </c>
      <c r="AB267" s="137" t="str">
        <f t="shared" si="225"/>
        <v/>
      </c>
      <c r="AC267" s="130" t="str">
        <f t="shared" si="226"/>
        <v/>
      </c>
      <c r="AD267" s="131"/>
      <c r="AE267" s="132"/>
      <c r="AF267" s="133"/>
      <c r="AG267" s="134"/>
      <c r="AH267" s="134"/>
      <c r="AI267" s="132"/>
      <c r="AJ267" s="133"/>
    </row>
    <row r="268" spans="1:68" x14ac:dyDescent="0.3">
      <c r="A268" s="290" t="s">
        <v>222</v>
      </c>
      <c r="B268" s="291"/>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291"/>
      <c r="Z268" s="291"/>
      <c r="AA268" s="291"/>
      <c r="AB268" s="291"/>
      <c r="AC268" s="291"/>
      <c r="AD268" s="291"/>
      <c r="AE268" s="291"/>
      <c r="AF268" s="291"/>
      <c r="AG268" s="291"/>
      <c r="AH268" s="291"/>
      <c r="AI268" s="291"/>
      <c r="AJ268" s="292"/>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row>
    <row r="269" spans="1:68" x14ac:dyDescent="0.3">
      <c r="A269" s="293"/>
      <c r="B269" s="294"/>
      <c r="C269" s="294"/>
      <c r="D269" s="294"/>
      <c r="E269" s="294"/>
      <c r="F269" s="294"/>
      <c r="G269" s="294"/>
      <c r="H269" s="294"/>
      <c r="I269" s="294"/>
      <c r="J269" s="294"/>
      <c r="K269" s="294"/>
      <c r="L269" s="294"/>
      <c r="M269" s="294"/>
      <c r="N269" s="294"/>
      <c r="O269" s="294"/>
      <c r="P269" s="294"/>
      <c r="Q269" s="294"/>
      <c r="R269" s="294"/>
      <c r="S269" s="294"/>
      <c r="T269" s="294"/>
      <c r="U269" s="294"/>
      <c r="V269" s="294"/>
      <c r="W269" s="294"/>
      <c r="X269" s="294"/>
      <c r="Y269" s="294"/>
      <c r="Z269" s="294"/>
      <c r="AA269" s="294"/>
      <c r="AB269" s="294"/>
      <c r="AC269" s="294"/>
      <c r="AD269" s="294"/>
      <c r="AE269" s="294"/>
      <c r="AF269" s="294"/>
      <c r="AG269" s="294"/>
      <c r="AH269" s="294"/>
      <c r="AI269" s="294"/>
      <c r="AJ269" s="295"/>
    </row>
    <row r="270" spans="1:68" ht="23.25" x14ac:dyDescent="0.3">
      <c r="A270" s="256" t="s">
        <v>43</v>
      </c>
      <c r="B270" s="257"/>
      <c r="C270" s="263" t="s">
        <v>339</v>
      </c>
      <c r="D270" s="264"/>
      <c r="E270" s="264"/>
      <c r="F270" s="264"/>
      <c r="G270" s="264"/>
      <c r="H270" s="264"/>
      <c r="I270" s="264"/>
      <c r="J270" s="264"/>
      <c r="K270" s="264"/>
      <c r="L270" s="264"/>
      <c r="M270" s="264"/>
      <c r="N270" s="265"/>
      <c r="O270" s="296"/>
      <c r="P270" s="296"/>
      <c r="Q270" s="296"/>
      <c r="R270" s="7"/>
      <c r="S270" s="7"/>
      <c r="T270" s="7"/>
      <c r="U270" s="7"/>
      <c r="V270" s="7"/>
      <c r="W270" s="7"/>
      <c r="X270" s="7"/>
      <c r="Y270" s="7"/>
      <c r="Z270" s="7"/>
      <c r="AA270" s="7"/>
      <c r="AB270" s="7"/>
      <c r="AC270" s="7"/>
      <c r="AD270" s="7"/>
      <c r="AE270" s="7"/>
      <c r="AF270" s="7"/>
      <c r="AG270" s="7"/>
      <c r="AH270" s="7"/>
      <c r="AI270" s="7"/>
      <c r="AJ270" s="7"/>
    </row>
    <row r="271" spans="1:68" ht="23.25" x14ac:dyDescent="0.3">
      <c r="A271" s="256" t="s">
        <v>130</v>
      </c>
      <c r="B271" s="257"/>
      <c r="C271" s="263" t="s">
        <v>340</v>
      </c>
      <c r="D271" s="264"/>
      <c r="E271" s="264"/>
      <c r="F271" s="264"/>
      <c r="G271" s="264"/>
      <c r="H271" s="264"/>
      <c r="I271" s="264"/>
      <c r="J271" s="264"/>
      <c r="K271" s="264"/>
      <c r="L271" s="264"/>
      <c r="M271" s="264"/>
      <c r="N271" s="265"/>
      <c r="O271" s="24"/>
      <c r="P271" s="7"/>
      <c r="Q271" s="7"/>
      <c r="R271" s="7"/>
      <c r="S271" s="7"/>
      <c r="T271" s="7"/>
      <c r="U271" s="7"/>
      <c r="V271" s="7"/>
      <c r="W271" s="7"/>
      <c r="X271" s="7"/>
      <c r="Y271" s="7"/>
      <c r="Z271" s="7"/>
      <c r="AA271" s="7"/>
      <c r="AB271" s="7"/>
      <c r="AC271" s="7"/>
      <c r="AD271" s="7"/>
      <c r="AE271" s="7"/>
      <c r="AF271" s="7"/>
      <c r="AG271" s="7"/>
      <c r="AH271" s="7"/>
      <c r="AI271" s="7"/>
      <c r="AJ271" s="7"/>
    </row>
    <row r="272" spans="1:68" ht="23.25" x14ac:dyDescent="0.3">
      <c r="A272" s="256" t="s">
        <v>44</v>
      </c>
      <c r="B272" s="257"/>
      <c r="C272" s="266" t="s">
        <v>341</v>
      </c>
      <c r="D272" s="267"/>
      <c r="E272" s="267"/>
      <c r="F272" s="267"/>
      <c r="G272" s="267"/>
      <c r="H272" s="267"/>
      <c r="I272" s="267"/>
      <c r="J272" s="267"/>
      <c r="K272" s="267"/>
      <c r="L272" s="267"/>
      <c r="M272" s="267"/>
      <c r="N272" s="268"/>
      <c r="O272" s="24"/>
      <c r="P272" s="7"/>
      <c r="Q272" s="7"/>
      <c r="R272" s="7"/>
      <c r="S272" s="7"/>
      <c r="T272" s="7"/>
      <c r="U272" s="7"/>
      <c r="V272" s="7"/>
      <c r="W272" s="7"/>
      <c r="X272" s="7"/>
      <c r="Y272" s="7"/>
      <c r="Z272" s="7"/>
      <c r="AA272" s="7"/>
      <c r="AB272" s="7"/>
      <c r="AC272" s="7"/>
      <c r="AD272" s="7"/>
      <c r="AE272" s="7"/>
      <c r="AF272" s="7"/>
      <c r="AG272" s="7"/>
      <c r="AH272" s="7"/>
      <c r="AI272" s="7"/>
      <c r="AJ272" s="7"/>
    </row>
    <row r="273" spans="1:36" x14ac:dyDescent="0.3">
      <c r="A273" s="297" t="s">
        <v>138</v>
      </c>
      <c r="B273" s="298"/>
      <c r="C273" s="298"/>
      <c r="D273" s="298"/>
      <c r="E273" s="298"/>
      <c r="F273" s="298"/>
      <c r="G273" s="299"/>
      <c r="H273" s="297" t="s">
        <v>139</v>
      </c>
      <c r="I273" s="298"/>
      <c r="J273" s="298"/>
      <c r="K273" s="298"/>
      <c r="L273" s="298"/>
      <c r="M273" s="298"/>
      <c r="N273" s="299"/>
      <c r="O273" s="297" t="s">
        <v>140</v>
      </c>
      <c r="P273" s="298"/>
      <c r="Q273" s="298"/>
      <c r="R273" s="298"/>
      <c r="S273" s="298"/>
      <c r="T273" s="298"/>
      <c r="U273" s="298"/>
      <c r="V273" s="298"/>
      <c r="W273" s="299"/>
      <c r="X273" s="297" t="s">
        <v>141</v>
      </c>
      <c r="Y273" s="298"/>
      <c r="Z273" s="298"/>
      <c r="AA273" s="298"/>
      <c r="AB273" s="298"/>
      <c r="AC273" s="298"/>
      <c r="AD273" s="299"/>
      <c r="AE273" s="297" t="s">
        <v>34</v>
      </c>
      <c r="AF273" s="298"/>
      <c r="AG273" s="298"/>
      <c r="AH273" s="298"/>
      <c r="AI273" s="298"/>
      <c r="AJ273" s="299"/>
    </row>
    <row r="274" spans="1:36" x14ac:dyDescent="0.3">
      <c r="A274" s="258" t="s">
        <v>0</v>
      </c>
      <c r="B274" s="251" t="s">
        <v>2</v>
      </c>
      <c r="C274" s="245" t="s">
        <v>3</v>
      </c>
      <c r="D274" s="245" t="s">
        <v>42</v>
      </c>
      <c r="E274" s="260" t="s">
        <v>1</v>
      </c>
      <c r="F274" s="252" t="s">
        <v>50</v>
      </c>
      <c r="G274" s="245" t="s">
        <v>134</v>
      </c>
      <c r="H274" s="247" t="s">
        <v>33</v>
      </c>
      <c r="I274" s="248" t="s">
        <v>5</v>
      </c>
      <c r="J274" s="252" t="s">
        <v>87</v>
      </c>
      <c r="K274" s="252" t="s">
        <v>92</v>
      </c>
      <c r="L274" s="250" t="s">
        <v>45</v>
      </c>
      <c r="M274" s="248" t="s">
        <v>5</v>
      </c>
      <c r="N274" s="245" t="s">
        <v>48</v>
      </c>
      <c r="O274" s="261" t="s">
        <v>11</v>
      </c>
      <c r="P274" s="246" t="s">
        <v>160</v>
      </c>
      <c r="Q274" s="252" t="s">
        <v>12</v>
      </c>
      <c r="R274" s="246" t="s">
        <v>8</v>
      </c>
      <c r="S274" s="246"/>
      <c r="T274" s="246"/>
      <c r="U274" s="246"/>
      <c r="V274" s="246"/>
      <c r="W274" s="246"/>
      <c r="X274" s="244" t="s">
        <v>137</v>
      </c>
      <c r="Y274" s="244" t="s">
        <v>46</v>
      </c>
      <c r="Z274" s="244" t="s">
        <v>5</v>
      </c>
      <c r="AA274" s="244" t="s">
        <v>47</v>
      </c>
      <c r="AB274" s="244" t="s">
        <v>5</v>
      </c>
      <c r="AC274" s="244" t="s">
        <v>49</v>
      </c>
      <c r="AD274" s="261" t="s">
        <v>29</v>
      </c>
      <c r="AE274" s="246" t="s">
        <v>34</v>
      </c>
      <c r="AF274" s="246" t="s">
        <v>35</v>
      </c>
      <c r="AG274" s="246" t="s">
        <v>36</v>
      </c>
      <c r="AH274" s="246" t="s">
        <v>38</v>
      </c>
      <c r="AI274" s="246" t="s">
        <v>37</v>
      </c>
      <c r="AJ274" s="246" t="s">
        <v>39</v>
      </c>
    </row>
    <row r="275" spans="1:36" ht="78.75" x14ac:dyDescent="0.3">
      <c r="A275" s="259"/>
      <c r="B275" s="251"/>
      <c r="C275" s="246"/>
      <c r="D275" s="246"/>
      <c r="E275" s="251"/>
      <c r="F275" s="245"/>
      <c r="G275" s="246"/>
      <c r="H275" s="245"/>
      <c r="I275" s="249"/>
      <c r="J275" s="245"/>
      <c r="K275" s="245"/>
      <c r="L275" s="249"/>
      <c r="M275" s="249"/>
      <c r="N275" s="246"/>
      <c r="O275" s="262"/>
      <c r="P275" s="246"/>
      <c r="Q275" s="245"/>
      <c r="R275" s="6" t="s">
        <v>13</v>
      </c>
      <c r="S275" s="6" t="s">
        <v>17</v>
      </c>
      <c r="T275" s="6" t="s">
        <v>28</v>
      </c>
      <c r="U275" s="6" t="s">
        <v>18</v>
      </c>
      <c r="V275" s="6" t="s">
        <v>21</v>
      </c>
      <c r="W275" s="6" t="s">
        <v>24</v>
      </c>
      <c r="X275" s="244"/>
      <c r="Y275" s="244"/>
      <c r="Z275" s="244"/>
      <c r="AA275" s="244"/>
      <c r="AB275" s="244"/>
      <c r="AC275" s="244"/>
      <c r="AD275" s="262"/>
      <c r="AE275" s="246"/>
      <c r="AF275" s="246"/>
      <c r="AG275" s="246"/>
      <c r="AH275" s="246"/>
      <c r="AI275" s="246"/>
      <c r="AJ275" s="246"/>
    </row>
    <row r="276" spans="1:36" ht="16.5" customHeight="1" x14ac:dyDescent="0.3">
      <c r="A276" s="210">
        <v>1</v>
      </c>
      <c r="B276" s="223" t="s">
        <v>133</v>
      </c>
      <c r="C276" s="223" t="s">
        <v>344</v>
      </c>
      <c r="D276" s="223" t="s">
        <v>342</v>
      </c>
      <c r="E276" s="226" t="s">
        <v>343</v>
      </c>
      <c r="F276" s="223" t="s">
        <v>126</v>
      </c>
      <c r="G276" s="253">
        <v>365</v>
      </c>
      <c r="H276" s="241" t="str">
        <f>IF(G276&lt;=0,"",IF(G276&lt;=2,"Muy Baja",IF(G276&lt;=24,"Baja",IF(G276&lt;=500,"Media",IF(G276&lt;=5000,"Alta","Muy Alta")))))</f>
        <v>Media</v>
      </c>
      <c r="I276" s="232">
        <f>IF(H276="","",IF(H276="Muy Baja",0.2,IF(H276="Baja",0.4,IF(H276="Media",0.6,IF(H276="Alta",0.8,IF(H276="Muy Alta",1,))))))</f>
        <v>0.6</v>
      </c>
      <c r="J276" s="235" t="s">
        <v>147</v>
      </c>
      <c r="K276" s="238" t="str">
        <f>IF(NOT(ISERROR(MATCH(J276,'[9]Tabla Impacto'!$B$221:$B$223,0))),'[9]Tabla Impacto'!$F$223&amp;"Por favor no seleccionar los criterios de impacto(Afectación Económica o presupuestal y Pérdida Reputacional)",J276)</f>
        <v xml:space="preserve">     Entre 10 y 50 SMLMV </v>
      </c>
      <c r="L276" s="241" t="str">
        <f>IF(OR(K276='[9]Tabla Impacto'!$C$11,K276='[9]Tabla Impacto'!$D$11),"Leve",IF(OR(K276='[9]Tabla Impacto'!$C$12,K276='[9]Tabla Impacto'!$D$12),"Menor",IF(OR(K276='[9]Tabla Impacto'!$C$13,K276='[9]Tabla Impacto'!$D$13),"Moderado",IF(OR(K276='[9]Tabla Impacto'!$C$14,K276='[9]Tabla Impacto'!$D$14),"Mayor",IF(OR(K276='[9]Tabla Impacto'!$C$15,K276='[9]Tabla Impacto'!$D$15),"Catastrófico","")))))</f>
        <v>Menor</v>
      </c>
      <c r="M276" s="232">
        <f>IF(L276="","",IF(L276="Leve",0.2,IF(L276="Menor",0.4,IF(L276="Moderado",0.6,IF(L276="Mayor",0.8,IF(L276="Catastrófico",1,))))))</f>
        <v>0.4</v>
      </c>
      <c r="N276" s="229" t="str">
        <f>IF(OR(AND(H276="Muy Baja",L276="Leve"),AND(H276="Muy Baja",L276="Menor"),AND(H276="Baja",L276="Leve")),"Bajo",IF(OR(AND(H276="Muy baja",L276="Moderado"),AND(H276="Baja",L276="Menor"),AND(H276="Baja",L276="Moderado"),AND(H276="Media",L276="Leve"),AND(H276="Media",L276="Menor"),AND(H276="Media",L276="Moderado"),AND(H276="Alta",L276="Leve"),AND(H276="Alta",L276="Menor")),"Moderado",IF(OR(AND(H276="Muy Baja",L276="Mayor"),AND(H276="Baja",L276="Mayor"),AND(H276="Media",L276="Mayor"),AND(H276="Alta",L276="Moderado"),AND(H276="Alta",L276="Mayor"),AND(H276="Muy Alta",L276="Leve"),AND(H276="Muy Alta",L276="Menor"),AND(H276="Muy Alta",L276="Moderado"),AND(H276="Muy Alta",L276="Mayor")),"Alto",IF(OR(AND(H276="Muy Baja",L276="Catastrófico"),AND(H276="Baja",L276="Catastrófico"),AND(H276="Media",L276="Catastrófico"),AND(H276="Alta",L276="Catastrófico"),AND(H276="Muy Alta",L276="Catastrófico")),"Extremo",""))))</f>
        <v>Moderado</v>
      </c>
      <c r="O276" s="210">
        <v>1</v>
      </c>
      <c r="P276" s="347" t="s">
        <v>369</v>
      </c>
      <c r="Q276" s="220" t="str">
        <f>IF(OR(R276="Preventivo",R276="Detectivo"),"Probabilidad",IF(R276="Correctivo","Impacto",""))</f>
        <v>Probabilidad</v>
      </c>
      <c r="R276" s="202" t="s">
        <v>14</v>
      </c>
      <c r="S276" s="202" t="s">
        <v>9</v>
      </c>
      <c r="T276" s="200"/>
      <c r="U276" s="202" t="s">
        <v>19</v>
      </c>
      <c r="V276" s="202" t="s">
        <v>22</v>
      </c>
      <c r="W276" s="202" t="s">
        <v>119</v>
      </c>
      <c r="X276" s="139">
        <f>IFERROR(IF(Q276="Probabilidad",(I276-(+I276*T276)),IF(Q276="Impacto",I276,"")),"")</f>
        <v>0.6</v>
      </c>
      <c r="Y276" s="204" t="str">
        <f>IFERROR(IF(X276="","",IF(X276&lt;=0.2,"Muy Baja",IF(X276&lt;=0.4,"Baja",IF(X276&lt;=0.6,"Media",IF(X276&lt;=0.8,"Alta","Muy Alta"))))),"")</f>
        <v>Media</v>
      </c>
      <c r="Z276" s="200">
        <f>+X276</f>
        <v>0.6</v>
      </c>
      <c r="AA276" s="204" t="str">
        <f>IFERROR(IF(AB276="","",IF(AB276&lt;=0.2,"Leve",IF(AB276&lt;=0.4,"Menor",IF(AB276&lt;=0.6,"Moderado",IF(AB276&lt;=0.8,"Mayor","Catastrófico"))))),"")</f>
        <v>Menor</v>
      </c>
      <c r="AB276" s="200">
        <f>IFERROR(IF(Q276="Impacto",(M276-(+M276*T276)),IF(Q276="Probabilidad",M276,"")),"")</f>
        <v>0.4</v>
      </c>
      <c r="AC276" s="208" t="str">
        <f>IFERROR(IF(OR(AND(Y276="Muy Baja",AA276="Leve"),AND(Y276="Muy Baja",AA276="Menor"),AND(Y276="Baja",AA276="Leve")),"Bajo",IF(OR(AND(Y276="Muy baja",AA276="Moderado"),AND(Y276="Baja",AA276="Menor"),AND(Y276="Baja",AA276="Moderado"),AND(Y276="Media",AA276="Leve"),AND(Y276="Media",AA276="Menor"),AND(Y276="Media",AA276="Moderado"),AND(Y276="Alta",AA276="Leve"),AND(Y276="Alta",AA276="Menor")),"Moderado",IF(OR(AND(Y276="Muy Baja",AA276="Mayor"),AND(Y276="Baja",AA276="Mayor"),AND(Y276="Media",AA276="Mayor"),AND(Y276="Alta",AA276="Moderado"),AND(Y276="Alta",AA276="Mayor"),AND(Y276="Muy Alta",AA276="Leve"),AND(Y276="Muy Alta",AA276="Menor"),AND(Y276="Muy Alta",AA276="Moderado"),AND(Y276="Muy Alta",AA276="Mayor")),"Alto",IF(OR(AND(Y276="Muy Baja",AA276="Catastrófico"),AND(Y276="Baja",AA276="Catastrófico"),AND(Y276="Media",AA276="Catastrófico"),AND(Y276="Alta",AA276="Catastrófico"),AND(Y276="Muy Alta",AA276="Catastrófico")),"Extremo","")))),"")</f>
        <v>Moderado</v>
      </c>
      <c r="AD276" s="202" t="s">
        <v>136</v>
      </c>
      <c r="AE276" s="212"/>
      <c r="AF276" s="214"/>
      <c r="AG276" s="216"/>
      <c r="AH276" s="216"/>
      <c r="AI276" s="212"/>
      <c r="AJ276" s="214"/>
    </row>
    <row r="277" spans="1:36" ht="168.75" customHeight="1" x14ac:dyDescent="0.3">
      <c r="A277" s="222"/>
      <c r="B277" s="224"/>
      <c r="C277" s="224"/>
      <c r="D277" s="224"/>
      <c r="E277" s="227"/>
      <c r="F277" s="224"/>
      <c r="G277" s="254"/>
      <c r="H277" s="242"/>
      <c r="I277" s="233"/>
      <c r="J277" s="236"/>
      <c r="K277" s="239">
        <f ca="1">IF(NOT(ISERROR(MATCH(J277,_xlfn.ANCHORARRAY(E281),0))),I283&amp;"Por favor no seleccionar los criterios de impacto",J277)</f>
        <v>0</v>
      </c>
      <c r="L277" s="242"/>
      <c r="M277" s="233"/>
      <c r="N277" s="230"/>
      <c r="O277" s="211"/>
      <c r="P277" s="348"/>
      <c r="Q277" s="221"/>
      <c r="R277" s="203"/>
      <c r="S277" s="203"/>
      <c r="T277" s="201"/>
      <c r="U277" s="203"/>
      <c r="V277" s="203"/>
      <c r="W277" s="203"/>
      <c r="X277" s="127" t="str">
        <f>IFERROR(IF(AND(Q276="Probabilidad",Q277="Probabilidad"),(Z276-(+Z276*T277)),IF(Q277="Probabilidad",(I276-(+I276*T277)),IF(Q277="Impacto",Z276,""))),"")</f>
        <v/>
      </c>
      <c r="Y277" s="205"/>
      <c r="Z277" s="201"/>
      <c r="AA277" s="205"/>
      <c r="AB277" s="201"/>
      <c r="AC277" s="209"/>
      <c r="AD277" s="203"/>
      <c r="AE277" s="213"/>
      <c r="AF277" s="215"/>
      <c r="AG277" s="217"/>
      <c r="AH277" s="217"/>
      <c r="AI277" s="213"/>
      <c r="AJ277" s="215"/>
    </row>
    <row r="279" spans="1:36" x14ac:dyDescent="0.3">
      <c r="A279" s="290" t="s">
        <v>222</v>
      </c>
      <c r="B279" s="291"/>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1"/>
      <c r="AA279" s="291"/>
      <c r="AB279" s="291"/>
      <c r="AC279" s="291"/>
      <c r="AD279" s="291"/>
      <c r="AE279" s="291"/>
      <c r="AF279" s="291"/>
      <c r="AG279" s="291"/>
      <c r="AH279" s="291"/>
      <c r="AI279" s="291"/>
      <c r="AJ279" s="292"/>
    </row>
    <row r="280" spans="1:36" x14ac:dyDescent="0.3">
      <c r="A280" s="293"/>
      <c r="B280" s="294"/>
      <c r="C280" s="294"/>
      <c r="D280" s="294"/>
      <c r="E280" s="294"/>
      <c r="F280" s="294"/>
      <c r="G280" s="294"/>
      <c r="H280" s="294"/>
      <c r="I280" s="294"/>
      <c r="J280" s="294"/>
      <c r="K280" s="294"/>
      <c r="L280" s="294"/>
      <c r="M280" s="294"/>
      <c r="N280" s="294"/>
      <c r="O280" s="294"/>
      <c r="P280" s="294"/>
      <c r="Q280" s="294"/>
      <c r="R280" s="294"/>
      <c r="S280" s="294"/>
      <c r="T280" s="294"/>
      <c r="U280" s="294"/>
      <c r="V280" s="294"/>
      <c r="W280" s="294"/>
      <c r="X280" s="294"/>
      <c r="Y280" s="294"/>
      <c r="Z280" s="294"/>
      <c r="AA280" s="294"/>
      <c r="AB280" s="294"/>
      <c r="AC280" s="294"/>
      <c r="AD280" s="294"/>
      <c r="AE280" s="294"/>
      <c r="AF280" s="294"/>
      <c r="AG280" s="294"/>
      <c r="AH280" s="294"/>
      <c r="AI280" s="294"/>
      <c r="AJ280" s="295"/>
    </row>
    <row r="281" spans="1:36" ht="23.25" x14ac:dyDescent="0.3">
      <c r="A281" s="256" t="s">
        <v>43</v>
      </c>
      <c r="B281" s="257"/>
      <c r="C281" s="263" t="s">
        <v>345</v>
      </c>
      <c r="D281" s="264"/>
      <c r="E281" s="264"/>
      <c r="F281" s="264"/>
      <c r="G281" s="264"/>
      <c r="H281" s="264"/>
      <c r="I281" s="264"/>
      <c r="J281" s="264"/>
      <c r="K281" s="264"/>
      <c r="L281" s="264"/>
      <c r="M281" s="264"/>
      <c r="N281" s="265"/>
      <c r="O281" s="296"/>
      <c r="P281" s="296"/>
      <c r="Q281" s="296"/>
      <c r="R281" s="7"/>
      <c r="S281" s="7"/>
      <c r="T281" s="7"/>
      <c r="U281" s="7"/>
      <c r="V281" s="7"/>
      <c r="W281" s="7"/>
      <c r="X281" s="7"/>
      <c r="Y281" s="7"/>
      <c r="Z281" s="7"/>
      <c r="AA281" s="7"/>
      <c r="AB281" s="7"/>
      <c r="AC281" s="7"/>
      <c r="AD281" s="7"/>
      <c r="AE281" s="7"/>
      <c r="AF281" s="7"/>
      <c r="AG281" s="7"/>
      <c r="AH281" s="7"/>
      <c r="AI281" s="7"/>
      <c r="AJ281" s="7"/>
    </row>
    <row r="282" spans="1:36" ht="23.25" x14ac:dyDescent="0.3">
      <c r="A282" s="256" t="s">
        <v>130</v>
      </c>
      <c r="B282" s="257"/>
      <c r="C282" s="263" t="s">
        <v>346</v>
      </c>
      <c r="D282" s="264"/>
      <c r="E282" s="264"/>
      <c r="F282" s="264"/>
      <c r="G282" s="264"/>
      <c r="H282" s="264"/>
      <c r="I282" s="264"/>
      <c r="J282" s="264"/>
      <c r="K282" s="264"/>
      <c r="L282" s="264"/>
      <c r="M282" s="264"/>
      <c r="N282" s="265"/>
      <c r="O282" s="24"/>
      <c r="P282" s="7"/>
      <c r="Q282" s="7"/>
      <c r="R282" s="7"/>
      <c r="S282" s="7"/>
      <c r="T282" s="7"/>
      <c r="U282" s="7"/>
      <c r="V282" s="7"/>
      <c r="W282" s="7"/>
      <c r="X282" s="7"/>
      <c r="Y282" s="7"/>
      <c r="Z282" s="7"/>
      <c r="AA282" s="7"/>
      <c r="AB282" s="7"/>
      <c r="AC282" s="7"/>
      <c r="AD282" s="7"/>
      <c r="AE282" s="7"/>
      <c r="AF282" s="7"/>
      <c r="AG282" s="7"/>
      <c r="AH282" s="7"/>
      <c r="AI282" s="7"/>
      <c r="AJ282" s="7"/>
    </row>
    <row r="283" spans="1:36" ht="23.25" x14ac:dyDescent="0.3">
      <c r="A283" s="256" t="s">
        <v>44</v>
      </c>
      <c r="B283" s="257"/>
      <c r="C283" s="266" t="s">
        <v>347</v>
      </c>
      <c r="D283" s="267"/>
      <c r="E283" s="267"/>
      <c r="F283" s="267"/>
      <c r="G283" s="267"/>
      <c r="H283" s="267"/>
      <c r="I283" s="267"/>
      <c r="J283" s="267"/>
      <c r="K283" s="267"/>
      <c r="L283" s="267"/>
      <c r="M283" s="267"/>
      <c r="N283" s="268"/>
      <c r="O283" s="24"/>
      <c r="P283" s="7"/>
      <c r="Q283" s="7"/>
      <c r="R283" s="7"/>
      <c r="S283" s="7"/>
      <c r="T283" s="7"/>
      <c r="U283" s="7"/>
      <c r="V283" s="7"/>
      <c r="W283" s="7"/>
      <c r="X283" s="7"/>
      <c r="Y283" s="7"/>
      <c r="Z283" s="7"/>
      <c r="AA283" s="7"/>
      <c r="AB283" s="7"/>
      <c r="AC283" s="7"/>
      <c r="AD283" s="7"/>
      <c r="AE283" s="7"/>
      <c r="AF283" s="7"/>
      <c r="AG283" s="7"/>
      <c r="AH283" s="7"/>
      <c r="AI283" s="7"/>
      <c r="AJ283" s="7"/>
    </row>
    <row r="284" spans="1:36" x14ac:dyDescent="0.3">
      <c r="A284" s="297" t="s">
        <v>138</v>
      </c>
      <c r="B284" s="298"/>
      <c r="C284" s="298"/>
      <c r="D284" s="298"/>
      <c r="E284" s="298"/>
      <c r="F284" s="298"/>
      <c r="G284" s="299"/>
      <c r="H284" s="297" t="s">
        <v>139</v>
      </c>
      <c r="I284" s="298"/>
      <c r="J284" s="298"/>
      <c r="K284" s="298"/>
      <c r="L284" s="298"/>
      <c r="M284" s="298"/>
      <c r="N284" s="299"/>
      <c r="O284" s="297" t="s">
        <v>140</v>
      </c>
      <c r="P284" s="298"/>
      <c r="Q284" s="298"/>
      <c r="R284" s="298"/>
      <c r="S284" s="298"/>
      <c r="T284" s="298"/>
      <c r="U284" s="298"/>
      <c r="V284" s="298"/>
      <c r="W284" s="299"/>
      <c r="X284" s="297" t="s">
        <v>141</v>
      </c>
      <c r="Y284" s="298"/>
      <c r="Z284" s="298"/>
      <c r="AA284" s="298"/>
      <c r="AB284" s="298"/>
      <c r="AC284" s="298"/>
      <c r="AD284" s="299"/>
      <c r="AE284" s="297" t="s">
        <v>34</v>
      </c>
      <c r="AF284" s="298"/>
      <c r="AG284" s="298"/>
      <c r="AH284" s="298"/>
      <c r="AI284" s="298"/>
      <c r="AJ284" s="299"/>
    </row>
    <row r="285" spans="1:36" x14ac:dyDescent="0.3">
      <c r="A285" s="258" t="s">
        <v>0</v>
      </c>
      <c r="B285" s="251" t="s">
        <v>2</v>
      </c>
      <c r="C285" s="245" t="s">
        <v>3</v>
      </c>
      <c r="D285" s="245" t="s">
        <v>42</v>
      </c>
      <c r="E285" s="260" t="s">
        <v>1</v>
      </c>
      <c r="F285" s="252" t="s">
        <v>50</v>
      </c>
      <c r="G285" s="245" t="s">
        <v>134</v>
      </c>
      <c r="H285" s="247" t="s">
        <v>33</v>
      </c>
      <c r="I285" s="248" t="s">
        <v>5</v>
      </c>
      <c r="J285" s="252" t="s">
        <v>87</v>
      </c>
      <c r="K285" s="252" t="s">
        <v>92</v>
      </c>
      <c r="L285" s="250" t="s">
        <v>45</v>
      </c>
      <c r="M285" s="248" t="s">
        <v>5</v>
      </c>
      <c r="N285" s="245" t="s">
        <v>48</v>
      </c>
      <c r="O285" s="261" t="s">
        <v>11</v>
      </c>
      <c r="P285" s="246" t="s">
        <v>160</v>
      </c>
      <c r="Q285" s="252" t="s">
        <v>12</v>
      </c>
      <c r="R285" s="246" t="s">
        <v>8</v>
      </c>
      <c r="S285" s="246"/>
      <c r="T285" s="246"/>
      <c r="U285" s="246"/>
      <c r="V285" s="246"/>
      <c r="W285" s="246"/>
      <c r="X285" s="244" t="s">
        <v>137</v>
      </c>
      <c r="Y285" s="244" t="s">
        <v>46</v>
      </c>
      <c r="Z285" s="244" t="s">
        <v>5</v>
      </c>
      <c r="AA285" s="244" t="s">
        <v>47</v>
      </c>
      <c r="AB285" s="244" t="s">
        <v>5</v>
      </c>
      <c r="AC285" s="244" t="s">
        <v>49</v>
      </c>
      <c r="AD285" s="261" t="s">
        <v>29</v>
      </c>
      <c r="AE285" s="246" t="s">
        <v>34</v>
      </c>
      <c r="AF285" s="246" t="s">
        <v>35</v>
      </c>
      <c r="AG285" s="246" t="s">
        <v>36</v>
      </c>
      <c r="AH285" s="246" t="s">
        <v>38</v>
      </c>
      <c r="AI285" s="246" t="s">
        <v>37</v>
      </c>
      <c r="AJ285" s="246" t="s">
        <v>39</v>
      </c>
    </row>
    <row r="286" spans="1:36" ht="78.75" x14ac:dyDescent="0.3">
      <c r="A286" s="259"/>
      <c r="B286" s="251"/>
      <c r="C286" s="246"/>
      <c r="D286" s="246"/>
      <c r="E286" s="251"/>
      <c r="F286" s="245"/>
      <c r="G286" s="246"/>
      <c r="H286" s="245"/>
      <c r="I286" s="249"/>
      <c r="J286" s="245"/>
      <c r="K286" s="245"/>
      <c r="L286" s="249"/>
      <c r="M286" s="249"/>
      <c r="N286" s="246"/>
      <c r="O286" s="262"/>
      <c r="P286" s="246"/>
      <c r="Q286" s="245"/>
      <c r="R286" s="6" t="s">
        <v>13</v>
      </c>
      <c r="S286" s="6" t="s">
        <v>17</v>
      </c>
      <c r="T286" s="6" t="s">
        <v>28</v>
      </c>
      <c r="U286" s="6" t="s">
        <v>18</v>
      </c>
      <c r="V286" s="6" t="s">
        <v>21</v>
      </c>
      <c r="W286" s="6" t="s">
        <v>24</v>
      </c>
      <c r="X286" s="244"/>
      <c r="Y286" s="244"/>
      <c r="Z286" s="244"/>
      <c r="AA286" s="244"/>
      <c r="AB286" s="244"/>
      <c r="AC286" s="244"/>
      <c r="AD286" s="262"/>
      <c r="AE286" s="246"/>
      <c r="AF286" s="246"/>
      <c r="AG286" s="246"/>
      <c r="AH286" s="246"/>
      <c r="AI286" s="246"/>
      <c r="AJ286" s="246"/>
    </row>
    <row r="287" spans="1:36" x14ac:dyDescent="0.3">
      <c r="A287" s="210">
        <v>1</v>
      </c>
      <c r="B287" s="223" t="s">
        <v>133</v>
      </c>
      <c r="C287" s="223" t="s">
        <v>348</v>
      </c>
      <c r="D287" s="223" t="s">
        <v>349</v>
      </c>
      <c r="E287" s="226" t="s">
        <v>350</v>
      </c>
      <c r="F287" s="223" t="s">
        <v>126</v>
      </c>
      <c r="G287" s="253">
        <v>365</v>
      </c>
      <c r="H287" s="241" t="str">
        <f>IF(G287&lt;=0,"",IF(G287&lt;=2,"Muy Baja",IF(G287&lt;=24,"Baja",IF(G287&lt;=500,"Media",IF(G287&lt;=5000,"Alta","Muy Alta")))))</f>
        <v>Media</v>
      </c>
      <c r="I287" s="232">
        <f>IF(H287="","",IF(H287="Muy Baja",0.2,IF(H287="Baja",0.4,IF(H287="Media",0.6,IF(H287="Alta",0.8,IF(H287="Muy Alta",1,))))))</f>
        <v>0.6</v>
      </c>
      <c r="J287" s="235" t="s">
        <v>143</v>
      </c>
      <c r="K287" s="238" t="str">
        <f>IF(NOT(ISERROR(MATCH(J287,'[10]Tabla Impacto'!$B$221:$B$223,0))),'[10]Tabla Impacto'!$F$223&amp;"Por favor no seleccionar los criterios de impacto(Afectación Económica o presupuestal y Pérdida Reputacional)",J287)</f>
        <v xml:space="preserve">     Afectación menor a 10 SMLMV .</v>
      </c>
      <c r="L287" s="241" t="str">
        <f>IF(OR(K287='[10]Tabla Impacto'!$C$11,K287='[10]Tabla Impacto'!$D$11),"Leve",IF(OR(K287='[10]Tabla Impacto'!$C$12,K287='[10]Tabla Impacto'!$D$12),"Menor",IF(OR(K287='[10]Tabla Impacto'!$C$13,K287='[10]Tabla Impacto'!$D$13),"Moderado",IF(OR(K287='[10]Tabla Impacto'!$C$14,K287='[10]Tabla Impacto'!$D$14),"Mayor",IF(OR(K287='[10]Tabla Impacto'!$C$15,K287='[10]Tabla Impacto'!$D$15),"Catastrófico","")))))</f>
        <v>Leve</v>
      </c>
      <c r="M287" s="232">
        <f>IF(L287="","",IF(L287="Leve",0.2,IF(L287="Menor",0.4,IF(L287="Moderado",0.6,IF(L287="Mayor",0.8,IF(L287="Catastrófico",1,))))))</f>
        <v>0.2</v>
      </c>
      <c r="N287" s="229" t="str">
        <f>IF(OR(AND(H287="Muy Baja",L287="Leve"),AND(H287="Muy Baja",L287="Menor"),AND(H287="Baja",L287="Leve")),"Bajo",IF(OR(AND(H287="Muy baja",L287="Moderado"),AND(H287="Baja",L287="Menor"),AND(H287="Baja",L287="Moderado"),AND(H287="Media",L287="Leve"),AND(H287="Media",L287="Menor"),AND(H287="Media",L287="Moderado"),AND(H287="Alta",L287="Leve"),AND(H287="Alta",L287="Menor")),"Moderado",IF(OR(AND(H287="Muy Baja",L287="Mayor"),AND(H287="Baja",L287="Mayor"),AND(H287="Media",L287="Mayor"),AND(H287="Alta",L287="Moderado"),AND(H287="Alta",L287="Mayor"),AND(H287="Muy Alta",L287="Leve"),AND(H287="Muy Alta",L287="Menor"),AND(H287="Muy Alta",L287="Moderado"),AND(H287="Muy Alta",L287="Mayor")),"Alto",IF(OR(AND(H287="Muy Baja",L287="Catastrófico"),AND(H287="Baja",L287="Catastrófico"),AND(H287="Media",L287="Catastrófico"),AND(H287="Alta",L287="Catastrófico"),AND(H287="Muy Alta",L287="Catastrófico")),"Extremo",""))))</f>
        <v>Moderado</v>
      </c>
      <c r="O287" s="210">
        <v>1</v>
      </c>
      <c r="P287" s="347" t="s">
        <v>351</v>
      </c>
      <c r="Q287" s="220" t="str">
        <f>IF(OR(R287="Preventivo",R287="Detectivo"),"Probabilidad",IF(R287="Correctivo","Impacto",""))</f>
        <v>Probabilidad</v>
      </c>
      <c r="R287" s="202" t="s">
        <v>14</v>
      </c>
      <c r="S287" s="202" t="s">
        <v>10</v>
      </c>
      <c r="T287" s="200"/>
      <c r="U287" s="202" t="s">
        <v>19</v>
      </c>
      <c r="V287" s="202" t="s">
        <v>22</v>
      </c>
      <c r="W287" s="202" t="s">
        <v>119</v>
      </c>
      <c r="X287" s="139">
        <f>IFERROR(IF(Q287="Probabilidad",(I287-(+I287*T287)),IF(Q287="Impacto",I287,"")),"")</f>
        <v>0.6</v>
      </c>
      <c r="Y287" s="204" t="str">
        <f>IFERROR(IF(X287="","",IF(X287&lt;=0.2,"Muy Baja",IF(X287&lt;=0.4,"Baja",IF(X287&lt;=0.6,"Media",IF(X287&lt;=0.8,"Alta","Muy Alta"))))),"")</f>
        <v>Media</v>
      </c>
      <c r="Z287" s="200">
        <f>+X287</f>
        <v>0.6</v>
      </c>
      <c r="AA287" s="204" t="str">
        <f>IFERROR(IF(AB287="","",IF(AB287&lt;=0.2,"Leve",IF(AB287&lt;=0.4,"Menor",IF(AB287&lt;=0.6,"Moderado",IF(AB287&lt;=0.8,"Mayor","Catastrófico"))))),"")</f>
        <v>Leve</v>
      </c>
      <c r="AB287" s="200">
        <f>IFERROR(IF(Q287="Impacto",(M287-(+M287*T287)),IF(Q287="Probabilidad",M287,"")),"")</f>
        <v>0.2</v>
      </c>
      <c r="AC287" s="208" t="str">
        <f>IFERROR(IF(OR(AND(Y287="Muy Baja",AA287="Leve"),AND(Y287="Muy Baja",AA287="Menor"),AND(Y287="Baja",AA287="Leve")),"Bajo",IF(OR(AND(Y287="Muy baja",AA287="Moderado"),AND(Y287="Baja",AA287="Menor"),AND(Y287="Baja",AA287="Moderado"),AND(Y287="Media",AA287="Leve"),AND(Y287="Media",AA287="Menor"),AND(Y287="Media",AA287="Moderado"),AND(Y287="Alta",AA287="Leve"),AND(Y287="Alta",AA287="Menor")),"Moderado",IF(OR(AND(Y287="Muy Baja",AA287="Mayor"),AND(Y287="Baja",AA287="Mayor"),AND(Y287="Media",AA287="Mayor"),AND(Y287="Alta",AA287="Moderado"),AND(Y287="Alta",AA287="Mayor"),AND(Y287="Muy Alta",AA287="Leve"),AND(Y287="Muy Alta",AA287="Menor"),AND(Y287="Muy Alta",AA287="Moderado"),AND(Y287="Muy Alta",AA287="Mayor")),"Alto",IF(OR(AND(Y287="Muy Baja",AA287="Catastrófico"),AND(Y287="Baja",AA287="Catastrófico"),AND(Y287="Media",AA287="Catastrófico"),AND(Y287="Alta",AA287="Catastrófico"),AND(Y287="Muy Alta",AA287="Catastrófico")),"Extremo","")))),"")</f>
        <v>Moderado</v>
      </c>
      <c r="AD287" s="202" t="s">
        <v>32</v>
      </c>
      <c r="AE287" s="212"/>
      <c r="AF287" s="214"/>
      <c r="AG287" s="216"/>
      <c r="AH287" s="216"/>
      <c r="AI287" s="212"/>
      <c r="AJ287" s="214"/>
    </row>
    <row r="288" spans="1:36" ht="165.75" customHeight="1" x14ac:dyDescent="0.3">
      <c r="A288" s="222"/>
      <c r="B288" s="224"/>
      <c r="C288" s="224"/>
      <c r="D288" s="224"/>
      <c r="E288" s="227"/>
      <c r="F288" s="224"/>
      <c r="G288" s="254"/>
      <c r="H288" s="242"/>
      <c r="I288" s="233"/>
      <c r="J288" s="236"/>
      <c r="K288" s="239">
        <f ca="1">IF(NOT(ISERROR(MATCH(J288,_xlfn.ANCHORARRAY(E295),0))),I297&amp;"Por favor no seleccionar los criterios de impacto",J288)</f>
        <v>0</v>
      </c>
      <c r="L288" s="242"/>
      <c r="M288" s="233"/>
      <c r="N288" s="230"/>
      <c r="O288" s="211"/>
      <c r="P288" s="348"/>
      <c r="Q288" s="221"/>
      <c r="R288" s="203"/>
      <c r="S288" s="203"/>
      <c r="T288" s="201"/>
      <c r="U288" s="203"/>
      <c r="V288" s="203"/>
      <c r="W288" s="203"/>
      <c r="X288" s="127" t="str">
        <f>IFERROR(IF(AND(Q287="Probabilidad",Q288="Probabilidad"),(Z287-(+Z287*T288)),IF(Q288="Probabilidad",(I287-(+I287*T288)),IF(Q288="Impacto",Z287,""))),"")</f>
        <v/>
      </c>
      <c r="Y288" s="205"/>
      <c r="Z288" s="201"/>
      <c r="AA288" s="205"/>
      <c r="AB288" s="201"/>
      <c r="AC288" s="209"/>
      <c r="AD288" s="203"/>
      <c r="AE288" s="213"/>
      <c r="AF288" s="215"/>
      <c r="AG288" s="217"/>
      <c r="AH288" s="217"/>
      <c r="AI288" s="213"/>
      <c r="AJ288" s="215"/>
    </row>
    <row r="289" spans="1:36" hidden="1" x14ac:dyDescent="0.3">
      <c r="A289" s="222"/>
      <c r="B289" s="224"/>
      <c r="C289" s="224"/>
      <c r="D289" s="224"/>
      <c r="E289" s="227"/>
      <c r="F289" s="224"/>
      <c r="G289" s="254"/>
      <c r="H289" s="242"/>
      <c r="I289" s="233"/>
      <c r="J289" s="236"/>
      <c r="K289" s="239">
        <f ca="1">IF(NOT(ISERROR(MATCH(J289,_xlfn.ANCHORARRAY(E296),0))),I298&amp;"Por favor no seleccionar los criterios de impacto",J289)</f>
        <v>0</v>
      </c>
      <c r="L289" s="242"/>
      <c r="M289" s="233"/>
      <c r="N289" s="230"/>
      <c r="O289" s="138">
        <v>3</v>
      </c>
      <c r="P289" s="135"/>
      <c r="Q289" s="124" t="str">
        <f>IF(OR(R289="Preventivo",R289="Detectivo"),"Probabilidad",IF(R289="Correctivo","Impacto",""))</f>
        <v/>
      </c>
      <c r="R289" s="125"/>
      <c r="S289" s="125"/>
      <c r="T289" s="126" t="str">
        <f t="shared" ref="T289:T292" si="227">IF(AND(R289="Preventivo",S289="Automático"),"50%",IF(AND(R289="Preventivo",S289="Manual"),"40%",IF(AND(R289="Detectivo",S289="Automático"),"40%",IF(AND(R289="Detectivo",S289="Manual"),"30%",IF(AND(R289="Correctivo",S289="Automático"),"35%",IF(AND(R289="Correctivo",S289="Manual"),"25%",""))))))</f>
        <v/>
      </c>
      <c r="U289" s="125"/>
      <c r="V289" s="125"/>
      <c r="W289" s="125"/>
      <c r="X289" s="127" t="str">
        <f>IFERROR(IF(AND(Q288="Probabilidad",Q289="Probabilidad"),(Z288-(+Z288*T289)),IF(AND(Q288="Impacto",Q289="Probabilidad"),(Z287-(+Z287*T289)),IF(Q289="Impacto",Z288,""))),"")</f>
        <v/>
      </c>
      <c r="Y289" s="128" t="str">
        <f t="shared" ref="Y289:Y292" si="228">IFERROR(IF(X289="","",IF(X289&lt;=0.2,"Muy Baja",IF(X289&lt;=0.4,"Baja",IF(X289&lt;=0.6,"Media",IF(X289&lt;=0.8,"Alta","Muy Alta"))))),"")</f>
        <v/>
      </c>
      <c r="Z289" s="129" t="str">
        <f t="shared" ref="Z289:Z292" si="229">+X289</f>
        <v/>
      </c>
      <c r="AA289" s="128" t="str">
        <f t="shared" ref="AA289:AA292" si="230">IFERROR(IF(AB289="","",IF(AB289&lt;=0.2,"Leve",IF(AB289&lt;=0.4,"Menor",IF(AB289&lt;=0.6,"Moderado",IF(AB289&lt;=0.8,"Mayor","Catastrófico"))))),"")</f>
        <v/>
      </c>
      <c r="AB289" s="137" t="str">
        <f>IFERROR(IF(AND(Q288="Impacto",Q289="Impacto"),(AB288-(+AB288*T289)),IF(AND(Q288="Probabilidad",Q289="Impacto"),(AB287-(+AB287*T289)),IF(Q289="Probabilidad",AB288,""))),"")</f>
        <v/>
      </c>
      <c r="AC289" s="130" t="str">
        <f t="shared" ref="AC289:AC292" si="231">IFERROR(IF(OR(AND(Y289="Muy Baja",AA289="Leve"),AND(Y289="Muy Baja",AA289="Menor"),AND(Y289="Baja",AA289="Leve")),"Bajo",IF(OR(AND(Y289="Muy baja",AA289="Moderado"),AND(Y289="Baja",AA289="Menor"),AND(Y289="Baja",AA289="Moderado"),AND(Y289="Media",AA289="Leve"),AND(Y289="Media",AA289="Menor"),AND(Y289="Media",AA289="Moderado"),AND(Y289="Alta",AA289="Leve"),AND(Y289="Alta",AA289="Menor")),"Moderado",IF(OR(AND(Y289="Muy Baja",AA289="Mayor"),AND(Y289="Baja",AA289="Mayor"),AND(Y289="Media",AA289="Mayor"),AND(Y289="Alta",AA289="Moderado"),AND(Y289="Alta",AA289="Mayor"),AND(Y289="Muy Alta",AA289="Leve"),AND(Y289="Muy Alta",AA289="Menor"),AND(Y289="Muy Alta",AA289="Moderado"),AND(Y289="Muy Alta",AA289="Mayor")),"Alto",IF(OR(AND(Y289="Muy Baja",AA289="Catastrófico"),AND(Y289="Baja",AA289="Catastrófico"),AND(Y289="Media",AA289="Catastrófico"),AND(Y289="Alta",AA289="Catastrófico"),AND(Y289="Muy Alta",AA289="Catastrófico")),"Extremo","")))),"")</f>
        <v/>
      </c>
      <c r="AD289" s="131"/>
      <c r="AE289" s="132"/>
      <c r="AF289" s="133"/>
      <c r="AG289" s="134"/>
      <c r="AH289" s="134"/>
      <c r="AI289" s="132"/>
      <c r="AJ289" s="133"/>
    </row>
    <row r="290" spans="1:36" hidden="1" x14ac:dyDescent="0.3">
      <c r="A290" s="222"/>
      <c r="B290" s="224"/>
      <c r="C290" s="224"/>
      <c r="D290" s="224"/>
      <c r="E290" s="227"/>
      <c r="F290" s="224"/>
      <c r="G290" s="254"/>
      <c r="H290" s="242"/>
      <c r="I290" s="233"/>
      <c r="J290" s="236"/>
      <c r="K290" s="239">
        <f ca="1">IF(NOT(ISERROR(MATCH(J290,_xlfn.ANCHORARRAY(E297),0))),I299&amp;"Por favor no seleccionar los criterios de impacto",J290)</f>
        <v>0</v>
      </c>
      <c r="L290" s="242"/>
      <c r="M290" s="233"/>
      <c r="N290" s="230"/>
      <c r="O290" s="138">
        <v>4</v>
      </c>
      <c r="P290" s="123"/>
      <c r="Q290" s="124" t="str">
        <f t="shared" ref="Q290:Q292" si="232">IF(OR(R290="Preventivo",R290="Detectivo"),"Probabilidad",IF(R290="Correctivo","Impacto",""))</f>
        <v/>
      </c>
      <c r="R290" s="125"/>
      <c r="S290" s="125"/>
      <c r="T290" s="126" t="str">
        <f t="shared" si="227"/>
        <v/>
      </c>
      <c r="U290" s="125"/>
      <c r="V290" s="125"/>
      <c r="W290" s="125"/>
      <c r="X290" s="127" t="str">
        <f t="shared" ref="X290:X292" si="233">IFERROR(IF(AND(Q289="Probabilidad",Q290="Probabilidad"),(Z289-(+Z289*T290)),IF(AND(Q289="Impacto",Q290="Probabilidad"),(Z288-(+Z288*T290)),IF(Q290="Impacto",Z289,""))),"")</f>
        <v/>
      </c>
      <c r="Y290" s="128" t="str">
        <f t="shared" si="228"/>
        <v/>
      </c>
      <c r="Z290" s="129" t="str">
        <f t="shared" si="229"/>
        <v/>
      </c>
      <c r="AA290" s="128" t="str">
        <f t="shared" si="230"/>
        <v/>
      </c>
      <c r="AB290" s="137" t="str">
        <f t="shared" ref="AB290:AB292" si="234">IFERROR(IF(AND(Q289="Impacto",Q290="Impacto"),(AB289-(+AB289*T290)),IF(AND(Q289="Probabilidad",Q290="Impacto"),(AB288-(+AB288*T290)),IF(Q290="Probabilidad",AB289,""))),"")</f>
        <v/>
      </c>
      <c r="AC290" s="130" t="str">
        <f>IFERROR(IF(OR(AND(Y290="Muy Baja",AA290="Leve"),AND(Y290="Muy Baja",AA290="Menor"),AND(Y290="Baja",AA290="Leve")),"Bajo",IF(OR(AND(Y290="Muy baja",AA290="Moderado"),AND(Y290="Baja",AA290="Menor"),AND(Y290="Baja",AA290="Moderado"),AND(Y290="Media",AA290="Leve"),AND(Y290="Media",AA290="Menor"),AND(Y290="Media",AA290="Moderado"),AND(Y290="Alta",AA290="Leve"),AND(Y290="Alta",AA290="Menor")),"Moderado",IF(OR(AND(Y290="Muy Baja",AA290="Mayor"),AND(Y290="Baja",AA290="Mayor"),AND(Y290="Media",AA290="Mayor"),AND(Y290="Alta",AA290="Moderado"),AND(Y290="Alta",AA290="Mayor"),AND(Y290="Muy Alta",AA290="Leve"),AND(Y290="Muy Alta",AA290="Menor"),AND(Y290="Muy Alta",AA290="Moderado"),AND(Y290="Muy Alta",AA290="Mayor")),"Alto",IF(OR(AND(Y290="Muy Baja",AA290="Catastrófico"),AND(Y290="Baja",AA290="Catastrófico"),AND(Y290="Media",AA290="Catastrófico"),AND(Y290="Alta",AA290="Catastrófico"),AND(Y290="Muy Alta",AA290="Catastrófico")),"Extremo","")))),"")</f>
        <v/>
      </c>
      <c r="AD290" s="131"/>
      <c r="AE290" s="132"/>
      <c r="AF290" s="133"/>
      <c r="AG290" s="134"/>
      <c r="AH290" s="134"/>
      <c r="AI290" s="132"/>
      <c r="AJ290" s="133"/>
    </row>
    <row r="291" spans="1:36" hidden="1" x14ac:dyDescent="0.3">
      <c r="A291" s="222"/>
      <c r="B291" s="224"/>
      <c r="C291" s="224"/>
      <c r="D291" s="224"/>
      <c r="E291" s="227"/>
      <c r="F291" s="224"/>
      <c r="G291" s="254"/>
      <c r="H291" s="242"/>
      <c r="I291" s="233"/>
      <c r="J291" s="236"/>
      <c r="K291" s="239">
        <f ca="1">IF(NOT(ISERROR(MATCH(J291,_xlfn.ANCHORARRAY(E298),0))),I300&amp;"Por favor no seleccionar los criterios de impacto",J291)</f>
        <v>0</v>
      </c>
      <c r="L291" s="242"/>
      <c r="M291" s="233"/>
      <c r="N291" s="230"/>
      <c r="O291" s="138">
        <v>5</v>
      </c>
      <c r="P291" s="123"/>
      <c r="Q291" s="124" t="str">
        <f t="shared" si="232"/>
        <v/>
      </c>
      <c r="R291" s="125"/>
      <c r="S291" s="125"/>
      <c r="T291" s="126" t="str">
        <f t="shared" si="227"/>
        <v/>
      </c>
      <c r="U291" s="125"/>
      <c r="V291" s="125"/>
      <c r="W291" s="125"/>
      <c r="X291" s="127" t="str">
        <f t="shared" si="233"/>
        <v/>
      </c>
      <c r="Y291" s="128" t="str">
        <f t="shared" si="228"/>
        <v/>
      </c>
      <c r="Z291" s="129" t="str">
        <f t="shared" si="229"/>
        <v/>
      </c>
      <c r="AA291" s="128" t="str">
        <f t="shared" si="230"/>
        <v/>
      </c>
      <c r="AB291" s="137" t="str">
        <f t="shared" si="234"/>
        <v/>
      </c>
      <c r="AC291" s="130" t="str">
        <f t="shared" si="231"/>
        <v/>
      </c>
      <c r="AD291" s="131"/>
      <c r="AE291" s="132"/>
      <c r="AF291" s="133"/>
      <c r="AG291" s="134"/>
      <c r="AH291" s="134"/>
      <c r="AI291" s="132"/>
      <c r="AJ291" s="133"/>
    </row>
    <row r="292" spans="1:36" hidden="1" x14ac:dyDescent="0.3">
      <c r="A292" s="211"/>
      <c r="B292" s="225"/>
      <c r="C292" s="225"/>
      <c r="D292" s="225"/>
      <c r="E292" s="228"/>
      <c r="F292" s="225"/>
      <c r="G292" s="255"/>
      <c r="H292" s="243"/>
      <c r="I292" s="234"/>
      <c r="J292" s="237"/>
      <c r="K292" s="240">
        <f ca="1">IF(NOT(ISERROR(MATCH(J292,_xlfn.ANCHORARRAY(E299),0))),I301&amp;"Por favor no seleccionar los criterios de impacto",J292)</f>
        <v>0</v>
      </c>
      <c r="L292" s="243"/>
      <c r="M292" s="234"/>
      <c r="N292" s="231"/>
      <c r="O292" s="138">
        <v>6</v>
      </c>
      <c r="P292" s="123"/>
      <c r="Q292" s="124" t="str">
        <f t="shared" si="232"/>
        <v/>
      </c>
      <c r="R292" s="125"/>
      <c r="S292" s="125"/>
      <c r="T292" s="126" t="str">
        <f t="shared" si="227"/>
        <v/>
      </c>
      <c r="U292" s="125"/>
      <c r="V292" s="125"/>
      <c r="W292" s="125"/>
      <c r="X292" s="127" t="str">
        <f t="shared" si="233"/>
        <v/>
      </c>
      <c r="Y292" s="128" t="str">
        <f t="shared" si="228"/>
        <v/>
      </c>
      <c r="Z292" s="129" t="str">
        <f t="shared" si="229"/>
        <v/>
      </c>
      <c r="AA292" s="128" t="str">
        <f t="shared" si="230"/>
        <v/>
      </c>
      <c r="AB292" s="137" t="str">
        <f t="shared" si="234"/>
        <v/>
      </c>
      <c r="AC292" s="130" t="str">
        <f t="shared" si="231"/>
        <v/>
      </c>
      <c r="AD292" s="131"/>
      <c r="AE292" s="132"/>
      <c r="AF292" s="133"/>
      <c r="AG292" s="134"/>
      <c r="AH292" s="134"/>
      <c r="AI292" s="132"/>
      <c r="AJ292" s="133"/>
    </row>
    <row r="293" spans="1:36" x14ac:dyDescent="0.3">
      <c r="A293" s="290" t="s">
        <v>222</v>
      </c>
      <c r="B293" s="291"/>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291"/>
      <c r="Z293" s="291"/>
      <c r="AA293" s="291"/>
      <c r="AB293" s="291"/>
      <c r="AC293" s="291"/>
      <c r="AD293" s="291"/>
      <c r="AE293" s="291"/>
      <c r="AF293" s="291"/>
      <c r="AG293" s="291"/>
      <c r="AH293" s="291"/>
      <c r="AI293" s="291"/>
      <c r="AJ293" s="292"/>
    </row>
    <row r="294" spans="1:36" x14ac:dyDescent="0.3">
      <c r="A294" s="293"/>
      <c r="B294" s="294"/>
      <c r="C294" s="294"/>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294"/>
      <c r="Z294" s="294"/>
      <c r="AA294" s="294"/>
      <c r="AB294" s="294"/>
      <c r="AC294" s="294"/>
      <c r="AD294" s="294"/>
      <c r="AE294" s="294"/>
      <c r="AF294" s="294"/>
      <c r="AG294" s="294"/>
      <c r="AH294" s="294"/>
      <c r="AI294" s="294"/>
      <c r="AJ294" s="295"/>
    </row>
    <row r="295" spans="1:36" ht="23.25" x14ac:dyDescent="0.3">
      <c r="A295" s="256" t="s">
        <v>43</v>
      </c>
      <c r="B295" s="257"/>
      <c r="C295" s="263" t="s">
        <v>352</v>
      </c>
      <c r="D295" s="264"/>
      <c r="E295" s="264"/>
      <c r="F295" s="264"/>
      <c r="G295" s="264"/>
      <c r="H295" s="264"/>
      <c r="I295" s="264"/>
      <c r="J295" s="264"/>
      <c r="K295" s="264"/>
      <c r="L295" s="264"/>
      <c r="M295" s="264"/>
      <c r="N295" s="265"/>
      <c r="O295" s="296"/>
      <c r="P295" s="296"/>
      <c r="Q295" s="296"/>
      <c r="R295" s="7"/>
      <c r="S295" s="7"/>
      <c r="T295" s="7"/>
      <c r="U295" s="7"/>
      <c r="V295" s="7"/>
      <c r="W295" s="7"/>
      <c r="X295" s="7"/>
      <c r="Y295" s="7"/>
      <c r="Z295" s="7"/>
      <c r="AA295" s="7"/>
      <c r="AB295" s="7"/>
      <c r="AC295" s="7"/>
      <c r="AD295" s="7"/>
      <c r="AE295" s="7"/>
      <c r="AF295" s="7"/>
      <c r="AG295" s="7"/>
      <c r="AH295" s="7"/>
      <c r="AI295" s="7"/>
      <c r="AJ295" s="7"/>
    </row>
    <row r="296" spans="1:36" ht="23.25" x14ac:dyDescent="0.3">
      <c r="A296" s="256" t="s">
        <v>130</v>
      </c>
      <c r="B296" s="257"/>
      <c r="C296" s="266" t="s">
        <v>353</v>
      </c>
      <c r="D296" s="264"/>
      <c r="E296" s="264"/>
      <c r="F296" s="264"/>
      <c r="G296" s="264"/>
      <c r="H296" s="264"/>
      <c r="I296" s="264"/>
      <c r="J296" s="264"/>
      <c r="K296" s="264"/>
      <c r="L296" s="264"/>
      <c r="M296" s="264"/>
      <c r="N296" s="265"/>
      <c r="O296" s="24"/>
      <c r="P296" s="7"/>
      <c r="Q296" s="7"/>
      <c r="R296" s="7"/>
      <c r="S296" s="7"/>
      <c r="T296" s="7"/>
      <c r="U296" s="7"/>
      <c r="V296" s="7"/>
      <c r="W296" s="7"/>
      <c r="X296" s="7"/>
      <c r="Y296" s="7"/>
      <c r="Z296" s="7"/>
      <c r="AA296" s="7"/>
      <c r="AB296" s="7"/>
      <c r="AC296" s="7"/>
      <c r="AD296" s="7"/>
      <c r="AE296" s="7"/>
      <c r="AF296" s="7"/>
      <c r="AG296" s="7"/>
      <c r="AH296" s="7"/>
      <c r="AI296" s="7"/>
      <c r="AJ296" s="7"/>
    </row>
    <row r="297" spans="1:36" ht="23.25" x14ac:dyDescent="0.3">
      <c r="A297" s="256" t="s">
        <v>44</v>
      </c>
      <c r="B297" s="257"/>
      <c r="C297" s="266" t="s">
        <v>354</v>
      </c>
      <c r="D297" s="267"/>
      <c r="E297" s="267"/>
      <c r="F297" s="267"/>
      <c r="G297" s="267"/>
      <c r="H297" s="267"/>
      <c r="I297" s="267"/>
      <c r="J297" s="267"/>
      <c r="K297" s="267"/>
      <c r="L297" s="267"/>
      <c r="M297" s="267"/>
      <c r="N297" s="268"/>
      <c r="O297" s="24"/>
      <c r="P297" s="7"/>
      <c r="Q297" s="7"/>
      <c r="R297" s="7"/>
      <c r="S297" s="7"/>
      <c r="T297" s="7"/>
      <c r="U297" s="7"/>
      <c r="V297" s="7"/>
      <c r="W297" s="7"/>
      <c r="X297" s="7"/>
      <c r="Y297" s="7"/>
      <c r="Z297" s="7"/>
      <c r="AA297" s="7"/>
      <c r="AB297" s="7"/>
      <c r="AC297" s="7"/>
      <c r="AD297" s="7"/>
      <c r="AE297" s="7"/>
      <c r="AF297" s="7"/>
      <c r="AG297" s="7"/>
      <c r="AH297" s="7"/>
      <c r="AI297" s="7"/>
      <c r="AJ297" s="7"/>
    </row>
    <row r="298" spans="1:36" x14ac:dyDescent="0.3">
      <c r="A298" s="297" t="s">
        <v>138</v>
      </c>
      <c r="B298" s="298"/>
      <c r="C298" s="298"/>
      <c r="D298" s="298"/>
      <c r="E298" s="298"/>
      <c r="F298" s="298"/>
      <c r="G298" s="299"/>
      <c r="H298" s="297" t="s">
        <v>139</v>
      </c>
      <c r="I298" s="298"/>
      <c r="J298" s="298"/>
      <c r="K298" s="298"/>
      <c r="L298" s="298"/>
      <c r="M298" s="298"/>
      <c r="N298" s="299"/>
      <c r="O298" s="297" t="s">
        <v>140</v>
      </c>
      <c r="P298" s="298"/>
      <c r="Q298" s="298"/>
      <c r="R298" s="298"/>
      <c r="S298" s="298"/>
      <c r="T298" s="298"/>
      <c r="U298" s="298"/>
      <c r="V298" s="298"/>
      <c r="W298" s="299"/>
      <c r="X298" s="297" t="s">
        <v>141</v>
      </c>
      <c r="Y298" s="298"/>
      <c r="Z298" s="298"/>
      <c r="AA298" s="298"/>
      <c r="AB298" s="298"/>
      <c r="AC298" s="298"/>
      <c r="AD298" s="299"/>
      <c r="AE298" s="297" t="s">
        <v>34</v>
      </c>
      <c r="AF298" s="298"/>
      <c r="AG298" s="298"/>
      <c r="AH298" s="298"/>
      <c r="AI298" s="298"/>
      <c r="AJ298" s="299"/>
    </row>
    <row r="299" spans="1:36" x14ac:dyDescent="0.3">
      <c r="A299" s="258" t="s">
        <v>0</v>
      </c>
      <c r="B299" s="251" t="s">
        <v>2</v>
      </c>
      <c r="C299" s="245" t="s">
        <v>3</v>
      </c>
      <c r="D299" s="245" t="s">
        <v>42</v>
      </c>
      <c r="E299" s="260" t="s">
        <v>1</v>
      </c>
      <c r="F299" s="252" t="s">
        <v>50</v>
      </c>
      <c r="G299" s="245" t="s">
        <v>134</v>
      </c>
      <c r="H299" s="247" t="s">
        <v>33</v>
      </c>
      <c r="I299" s="248" t="s">
        <v>5</v>
      </c>
      <c r="J299" s="252" t="s">
        <v>87</v>
      </c>
      <c r="K299" s="252" t="s">
        <v>92</v>
      </c>
      <c r="L299" s="250" t="s">
        <v>45</v>
      </c>
      <c r="M299" s="248" t="s">
        <v>5</v>
      </c>
      <c r="N299" s="245" t="s">
        <v>48</v>
      </c>
      <c r="O299" s="261" t="s">
        <v>11</v>
      </c>
      <c r="P299" s="246" t="s">
        <v>160</v>
      </c>
      <c r="Q299" s="252" t="s">
        <v>12</v>
      </c>
      <c r="R299" s="246" t="s">
        <v>8</v>
      </c>
      <c r="S299" s="246"/>
      <c r="T299" s="246"/>
      <c r="U299" s="246"/>
      <c r="V299" s="246"/>
      <c r="W299" s="246"/>
      <c r="X299" s="244" t="s">
        <v>137</v>
      </c>
      <c r="Y299" s="244" t="s">
        <v>46</v>
      </c>
      <c r="Z299" s="244" t="s">
        <v>5</v>
      </c>
      <c r="AA299" s="244" t="s">
        <v>47</v>
      </c>
      <c r="AB299" s="244" t="s">
        <v>5</v>
      </c>
      <c r="AC299" s="244" t="s">
        <v>49</v>
      </c>
      <c r="AD299" s="261" t="s">
        <v>29</v>
      </c>
      <c r="AE299" s="246" t="s">
        <v>34</v>
      </c>
      <c r="AF299" s="246" t="s">
        <v>35</v>
      </c>
      <c r="AG299" s="246" t="s">
        <v>36</v>
      </c>
      <c r="AH299" s="246" t="s">
        <v>38</v>
      </c>
      <c r="AI299" s="246" t="s">
        <v>37</v>
      </c>
      <c r="AJ299" s="246" t="s">
        <v>39</v>
      </c>
    </row>
    <row r="300" spans="1:36" ht="78.75" x14ac:dyDescent="0.3">
      <c r="A300" s="259"/>
      <c r="B300" s="251"/>
      <c r="C300" s="246"/>
      <c r="D300" s="246"/>
      <c r="E300" s="251"/>
      <c r="F300" s="245"/>
      <c r="G300" s="246"/>
      <c r="H300" s="245"/>
      <c r="I300" s="249"/>
      <c r="J300" s="245"/>
      <c r="K300" s="245"/>
      <c r="L300" s="249"/>
      <c r="M300" s="249"/>
      <c r="N300" s="246"/>
      <c r="O300" s="262"/>
      <c r="P300" s="246"/>
      <c r="Q300" s="245"/>
      <c r="R300" s="6" t="s">
        <v>13</v>
      </c>
      <c r="S300" s="6" t="s">
        <v>17</v>
      </c>
      <c r="T300" s="6" t="s">
        <v>28</v>
      </c>
      <c r="U300" s="6" t="s">
        <v>18</v>
      </c>
      <c r="V300" s="6" t="s">
        <v>21</v>
      </c>
      <c r="W300" s="6" t="s">
        <v>24</v>
      </c>
      <c r="X300" s="244"/>
      <c r="Y300" s="244"/>
      <c r="Z300" s="244"/>
      <c r="AA300" s="244"/>
      <c r="AB300" s="244"/>
      <c r="AC300" s="244"/>
      <c r="AD300" s="262"/>
      <c r="AE300" s="246"/>
      <c r="AF300" s="246"/>
      <c r="AG300" s="246"/>
      <c r="AH300" s="246"/>
      <c r="AI300" s="246"/>
      <c r="AJ300" s="246"/>
    </row>
    <row r="301" spans="1:36" x14ac:dyDescent="0.3">
      <c r="A301" s="210">
        <v>1</v>
      </c>
      <c r="B301" s="223" t="s">
        <v>133</v>
      </c>
      <c r="C301" s="223" t="s">
        <v>355</v>
      </c>
      <c r="D301" s="223" t="s">
        <v>356</v>
      </c>
      <c r="E301" s="337" t="s">
        <v>357</v>
      </c>
      <c r="F301" s="223" t="s">
        <v>123</v>
      </c>
      <c r="G301" s="253">
        <v>150</v>
      </c>
      <c r="H301" s="241" t="str">
        <f>IF(G301&lt;=0,"",IF(G301&lt;=2,"Muy Baja",IF(G301&lt;=24,"Baja",IF(G301&lt;=500,"Media",IF(G301&lt;=5000,"Alta","Muy Alta")))))</f>
        <v>Media</v>
      </c>
      <c r="I301" s="232">
        <f>IF(H301="","",IF(H301="Muy Baja",0.2,IF(H301="Baja",0.4,IF(H301="Media",0.6,IF(H301="Alta",0.8,IF(H301="Muy Alta",1,))))))</f>
        <v>0.6</v>
      </c>
      <c r="J301" s="235" t="s">
        <v>143</v>
      </c>
      <c r="K301" s="238" t="str">
        <f>IF(NOT(ISERROR(MATCH(J301,'[11]Tabla Impacto'!$B$221:$B$223,0))),'[11]Tabla Impacto'!$F$223&amp;"Por favor no seleccionar los criterios de impacto(Afectación Económica o presupuestal y Pérdida Reputacional)",J301)</f>
        <v xml:space="preserve">     Afectación menor a 10 SMLMV .</v>
      </c>
      <c r="L301" s="241" t="str">
        <f>IF(OR(K301='[11]Tabla Impacto'!$C$11,K301='[11]Tabla Impacto'!$D$11),"Leve",IF(OR(K301='[11]Tabla Impacto'!$C$12,K301='[11]Tabla Impacto'!$D$12),"Menor",IF(OR(K301='[11]Tabla Impacto'!$C$13,K301='[11]Tabla Impacto'!$D$13),"Moderado",IF(OR(K301='[11]Tabla Impacto'!$C$14,K301='[11]Tabla Impacto'!$D$14),"Mayor",IF(OR(K301='[11]Tabla Impacto'!$C$15,K301='[11]Tabla Impacto'!$D$15),"Catastrófico","")))))</f>
        <v>Leve</v>
      </c>
      <c r="M301" s="232">
        <f>IF(L301="","",IF(L301="Leve",0.2,IF(L301="Menor",0.4,IF(L301="Moderado",0.6,IF(L301="Mayor",0.8,IF(L301="Catastrófico",1,))))))</f>
        <v>0.2</v>
      </c>
      <c r="N301" s="229" t="str">
        <f>IF(OR(AND(H301="Muy Baja",L301="Leve"),AND(H301="Muy Baja",L301="Menor"),AND(H301="Baja",L301="Leve")),"Bajo",IF(OR(AND(H301="Muy baja",L301="Moderado"),AND(H301="Baja",L301="Menor"),AND(H301="Baja",L301="Moderado"),AND(H301="Media",L301="Leve"),AND(H301="Media",L301="Menor"),AND(H301="Media",L301="Moderado"),AND(H301="Alta",L301="Leve"),AND(H301="Alta",L301="Menor")),"Moderado",IF(OR(AND(H301="Muy Baja",L301="Mayor"),AND(H301="Baja",L301="Mayor"),AND(H301="Media",L301="Mayor"),AND(H301="Alta",L301="Moderado"),AND(H301="Alta",L301="Mayor"),AND(H301="Muy Alta",L301="Leve"),AND(H301="Muy Alta",L301="Menor"),AND(H301="Muy Alta",L301="Moderado"),AND(H301="Muy Alta",L301="Mayor")),"Alto",IF(OR(AND(H301="Muy Baja",L301="Catastrófico"),AND(H301="Baja",L301="Catastrófico"),AND(H301="Media",L301="Catastrófico"),AND(H301="Alta",L301="Catastrófico"),AND(H301="Muy Alta",L301="Catastrófico")),"Extremo",""))))</f>
        <v>Moderado</v>
      </c>
      <c r="O301" s="210">
        <v>1</v>
      </c>
      <c r="P301" s="347" t="s">
        <v>358</v>
      </c>
      <c r="Q301" s="220" t="str">
        <f>IF(OR(R301="Preventivo",R301="Detectivo"),"Probabilidad",IF(R301="Correctivo","Impacto",""))</f>
        <v>Probabilidad</v>
      </c>
      <c r="R301" s="202" t="s">
        <v>14</v>
      </c>
      <c r="S301" s="202" t="s">
        <v>10</v>
      </c>
      <c r="T301" s="200" t="str">
        <f>IF(AND(R301="Preventivo",S301="Automático"),"50%",IF(AND(R301="Preventivo",S301="Manual"),"40%",IF(AND(R301="Detectivo",S301="Automático"),"40%",IF(AND(R301="Detectivo",S301="Manual"),"30%",IF(AND(R301="Correctivo",S301="Automático"),"35%",IF(AND(R301="Correctivo",S301="Manual"),"25%",""))))))</f>
        <v>50%</v>
      </c>
      <c r="U301" s="202" t="s">
        <v>19</v>
      </c>
      <c r="V301" s="202" t="s">
        <v>22</v>
      </c>
      <c r="W301" s="202" t="s">
        <v>119</v>
      </c>
      <c r="X301" s="139">
        <f>IFERROR(IF(Q301="Probabilidad",(I301-(+I301*T301)),IF(Q301="Impacto",I301,"")),"")</f>
        <v>0.3</v>
      </c>
      <c r="Y301" s="204" t="str">
        <f>IFERROR(IF(X301="","",IF(X301&lt;=0.2,"Muy Baja",IF(X301&lt;=0.4,"Baja",IF(X301&lt;=0.6,"Media",IF(X301&lt;=0.8,"Alta","Muy Alta"))))),"")</f>
        <v>Baja</v>
      </c>
      <c r="Z301" s="200">
        <f>+X301</f>
        <v>0.3</v>
      </c>
      <c r="AA301" s="204" t="str">
        <f>IFERROR(IF(AB301="","",IF(AB301&lt;=0.2,"Leve",IF(AB301&lt;=0.4,"Menor",IF(AB301&lt;=0.6,"Moderado",IF(AB301&lt;=0.8,"Mayor","Catastrófico"))))),"")</f>
        <v>Leve</v>
      </c>
      <c r="AB301" s="200">
        <f>IFERROR(IF(Q301="Impacto",(M301-(+M301*T301)),IF(Q301="Probabilidad",M301,"")),"")</f>
        <v>0.2</v>
      </c>
      <c r="AC301" s="208" t="str">
        <f>IFERROR(IF(OR(AND(Y301="Muy Baja",AA301="Leve"),AND(Y301="Muy Baja",AA301="Menor"),AND(Y301="Baja",AA301="Leve")),"Bajo",IF(OR(AND(Y301="Muy baja",AA301="Moderado"),AND(Y301="Baja",AA301="Menor"),AND(Y301="Baja",AA301="Moderado"),AND(Y301="Media",AA301="Leve"),AND(Y301="Media",AA301="Menor"),AND(Y301="Media",AA301="Moderado"),AND(Y301="Alta",AA301="Leve"),AND(Y301="Alta",AA301="Menor")),"Moderado",IF(OR(AND(Y301="Muy Baja",AA301="Mayor"),AND(Y301="Baja",AA301="Mayor"),AND(Y301="Media",AA301="Mayor"),AND(Y301="Alta",AA301="Moderado"),AND(Y301="Alta",AA301="Mayor"),AND(Y301="Muy Alta",AA301="Leve"),AND(Y301="Muy Alta",AA301="Menor"),AND(Y301="Muy Alta",AA301="Moderado"),AND(Y301="Muy Alta",AA301="Mayor")),"Alto",IF(OR(AND(Y301="Muy Baja",AA301="Catastrófico"),AND(Y301="Baja",AA301="Catastrófico"),AND(Y301="Media",AA301="Catastrófico"),AND(Y301="Alta",AA301="Catastrófico"),AND(Y301="Muy Alta",AA301="Catastrófico")),"Extremo","")))),"")</f>
        <v>Bajo</v>
      </c>
      <c r="AD301" s="202" t="s">
        <v>135</v>
      </c>
      <c r="AE301" s="223" t="s">
        <v>359</v>
      </c>
      <c r="AF301" s="253" t="s">
        <v>360</v>
      </c>
      <c r="AG301" s="223" t="s">
        <v>361</v>
      </c>
      <c r="AH301" s="339"/>
      <c r="AI301" s="223"/>
      <c r="AJ301" s="253"/>
    </row>
    <row r="302" spans="1:36" ht="126" customHeight="1" x14ac:dyDescent="0.3">
      <c r="A302" s="222"/>
      <c r="B302" s="224"/>
      <c r="C302" s="224"/>
      <c r="D302" s="224"/>
      <c r="E302" s="338"/>
      <c r="F302" s="224"/>
      <c r="G302" s="254"/>
      <c r="H302" s="242"/>
      <c r="I302" s="233"/>
      <c r="J302" s="236"/>
      <c r="K302" s="239">
        <f ca="1">IF(NOT(ISERROR(MATCH(J302,_xlfn.ANCHORARRAY(#REF!),0))),#REF!&amp;"Por favor no seleccionar los criterios de impacto",J302)</f>
        <v>0</v>
      </c>
      <c r="L302" s="242"/>
      <c r="M302" s="233"/>
      <c r="N302" s="230"/>
      <c r="O302" s="211"/>
      <c r="P302" s="348"/>
      <c r="Q302" s="221"/>
      <c r="R302" s="203"/>
      <c r="S302" s="203"/>
      <c r="T302" s="201"/>
      <c r="U302" s="203"/>
      <c r="V302" s="203"/>
      <c r="W302" s="203"/>
      <c r="X302" s="139" t="str">
        <f>IFERROR(IF(AND(Q301="Probabilidad",Q302="Probabilidad"),(Z301-(+Z301*T302)),IF(Q302="Probabilidad",(I301-(+I301*T302)),IF(Q302="Impacto",Z301,""))),"")</f>
        <v/>
      </c>
      <c r="Y302" s="205"/>
      <c r="Z302" s="201"/>
      <c r="AA302" s="205"/>
      <c r="AB302" s="201"/>
      <c r="AC302" s="209"/>
      <c r="AD302" s="203"/>
      <c r="AE302" s="225"/>
      <c r="AF302" s="255"/>
      <c r="AG302" s="225"/>
      <c r="AH302" s="340"/>
      <c r="AI302" s="225"/>
      <c r="AJ302" s="255"/>
    </row>
    <row r="303" spans="1:36" hidden="1" x14ac:dyDescent="0.3">
      <c r="A303" s="222"/>
      <c r="B303" s="224"/>
      <c r="C303" s="224"/>
      <c r="D303" s="224"/>
      <c r="E303" s="338"/>
      <c r="F303" s="224"/>
      <c r="G303" s="254"/>
      <c r="H303" s="242"/>
      <c r="I303" s="233"/>
      <c r="J303" s="236"/>
      <c r="K303" s="239">
        <f ca="1">IF(NOT(ISERROR(MATCH(J303,_xlfn.ANCHORARRAY(#REF!),0))),#REF!&amp;"Por favor no seleccionar los criterios de impacto",J303)</f>
        <v>0</v>
      </c>
      <c r="L303" s="242"/>
      <c r="M303" s="233"/>
      <c r="N303" s="230"/>
      <c r="O303" s="138">
        <v>3</v>
      </c>
      <c r="P303" s="135"/>
      <c r="Q303" s="124" t="str">
        <f>IF(OR(R303="Preventivo",R303="Detectivo"),"Probabilidad",IF(R303="Correctivo","Impacto",""))</f>
        <v/>
      </c>
      <c r="R303" s="155"/>
      <c r="S303" s="155"/>
      <c r="T303" s="156" t="str">
        <f t="shared" ref="T303:T306" si="235">IF(AND(R303="Preventivo",S303="Automático"),"50%",IF(AND(R303="Preventivo",S303="Manual"),"40%",IF(AND(R303="Detectivo",S303="Automático"),"40%",IF(AND(R303="Detectivo",S303="Manual"),"30%",IF(AND(R303="Correctivo",S303="Automático"),"35%",IF(AND(R303="Correctivo",S303="Manual"),"25%",""))))))</f>
        <v/>
      </c>
      <c r="U303" s="155"/>
      <c r="V303" s="155"/>
      <c r="W303" s="155"/>
      <c r="X303" s="139" t="str">
        <f>IFERROR(IF(AND(Q302="Probabilidad",Q303="Probabilidad"),(Z302-(+Z302*T303)),IF(AND(Q302="Impacto",Q303="Probabilidad"),(Z301-(+Z301*T303)),IF(Q303="Impacto",Z302,""))),"")</f>
        <v/>
      </c>
      <c r="Y303" s="157" t="str">
        <f t="shared" ref="Y303:Y318" si="236">IFERROR(IF(X303="","",IF(X303&lt;=0.2,"Muy Baja",IF(X303&lt;=0.4,"Baja",IF(X303&lt;=0.6,"Media",IF(X303&lt;=0.8,"Alta","Muy Alta"))))),"")</f>
        <v/>
      </c>
      <c r="Z303" s="141" t="str">
        <f t="shared" ref="Z303:Z306" si="237">+X303</f>
        <v/>
      </c>
      <c r="AA303" s="157" t="str">
        <f t="shared" ref="AA303:AA318" si="238">IFERROR(IF(AB303="","",IF(AB303&lt;=0.2,"Leve",IF(AB303&lt;=0.4,"Menor",IF(AB303&lt;=0.6,"Moderado",IF(AB303&lt;=0.8,"Mayor","Catastrófico"))))),"")</f>
        <v/>
      </c>
      <c r="AB303" s="143" t="str">
        <f>IFERROR(IF(AND(Q302="Impacto",Q303="Impacto"),(AB302-(+AB302*T303)),IF(AND(Q302="Probabilidad",Q303="Impacto"),(AB301-(+AB301*T303)),IF(Q303="Probabilidad",AB302,""))),"")</f>
        <v/>
      </c>
      <c r="AC303" s="158" t="str">
        <f t="shared" ref="AC303:AC306" si="239">IFERROR(IF(OR(AND(Y303="Muy Baja",AA303="Leve"),AND(Y303="Muy Baja",AA303="Menor"),AND(Y303="Baja",AA303="Leve")),"Bajo",IF(OR(AND(Y303="Muy baja",AA303="Moderado"),AND(Y303="Baja",AA303="Menor"),AND(Y303="Baja",AA303="Moderado"),AND(Y303="Media",AA303="Leve"),AND(Y303="Media",AA303="Menor"),AND(Y303="Media",AA303="Moderado"),AND(Y303="Alta",AA303="Leve"),AND(Y303="Alta",AA303="Menor")),"Moderado",IF(OR(AND(Y303="Muy Baja",AA303="Mayor"),AND(Y303="Baja",AA303="Mayor"),AND(Y303="Media",AA303="Mayor"),AND(Y303="Alta",AA303="Moderado"),AND(Y303="Alta",AA303="Mayor"),AND(Y303="Muy Alta",AA303="Leve"),AND(Y303="Muy Alta",AA303="Menor"),AND(Y303="Muy Alta",AA303="Moderado"),AND(Y303="Muy Alta",AA303="Mayor")),"Alto",IF(OR(AND(Y303="Muy Baja",AA303="Catastrófico"),AND(Y303="Baja",AA303="Catastrófico"),AND(Y303="Media",AA303="Catastrófico"),AND(Y303="Alta",AA303="Catastrófico"),AND(Y303="Muy Alta",AA303="Catastrófico")),"Extremo","")))),"")</f>
        <v/>
      </c>
      <c r="AD303" s="140"/>
      <c r="AE303" s="132"/>
      <c r="AF303" s="133"/>
      <c r="AG303" s="134"/>
      <c r="AH303" s="134"/>
      <c r="AI303" s="132"/>
      <c r="AJ303" s="133"/>
    </row>
    <row r="304" spans="1:36" hidden="1" x14ac:dyDescent="0.3">
      <c r="A304" s="222"/>
      <c r="B304" s="224"/>
      <c r="C304" s="224"/>
      <c r="D304" s="224"/>
      <c r="E304" s="338"/>
      <c r="F304" s="224"/>
      <c r="G304" s="254"/>
      <c r="H304" s="242"/>
      <c r="I304" s="233"/>
      <c r="J304" s="236"/>
      <c r="K304" s="239">
        <f ca="1">IF(NOT(ISERROR(MATCH(J304,_xlfn.ANCHORARRAY(#REF!),0))),#REF!&amp;"Por favor no seleccionar los criterios de impacto",J304)</f>
        <v>0</v>
      </c>
      <c r="L304" s="242"/>
      <c r="M304" s="233"/>
      <c r="N304" s="230"/>
      <c r="O304" s="138">
        <v>4</v>
      </c>
      <c r="P304" s="123"/>
      <c r="Q304" s="124" t="str">
        <f t="shared" ref="Q304:Q306" si="240">IF(OR(R304="Preventivo",R304="Detectivo"),"Probabilidad",IF(R304="Correctivo","Impacto",""))</f>
        <v/>
      </c>
      <c r="R304" s="155"/>
      <c r="S304" s="155"/>
      <c r="T304" s="156" t="str">
        <f t="shared" si="235"/>
        <v/>
      </c>
      <c r="U304" s="155"/>
      <c r="V304" s="155"/>
      <c r="W304" s="155"/>
      <c r="X304" s="139" t="str">
        <f t="shared" ref="X304:X306" si="241">IFERROR(IF(AND(Q303="Probabilidad",Q304="Probabilidad"),(Z303-(+Z303*T304)),IF(AND(Q303="Impacto",Q304="Probabilidad"),(Z302-(+Z302*T304)),IF(Q304="Impacto",Z303,""))),"")</f>
        <v/>
      </c>
      <c r="Y304" s="157" t="str">
        <f t="shared" si="236"/>
        <v/>
      </c>
      <c r="Z304" s="141" t="str">
        <f t="shared" si="237"/>
        <v/>
      </c>
      <c r="AA304" s="157" t="str">
        <f t="shared" si="238"/>
        <v/>
      </c>
      <c r="AB304" s="143" t="str">
        <f t="shared" ref="AB304:AB306" si="242">IFERROR(IF(AND(Q303="Impacto",Q304="Impacto"),(AB303-(+AB303*T304)),IF(AND(Q303="Probabilidad",Q304="Impacto"),(AB302-(+AB302*T304)),IF(Q304="Probabilidad",AB303,""))),"")</f>
        <v/>
      </c>
      <c r="AC304" s="158" t="str">
        <f>IFERROR(IF(OR(AND(Y304="Muy Baja",AA304="Leve"),AND(Y304="Muy Baja",AA304="Menor"),AND(Y304="Baja",AA304="Leve")),"Bajo",IF(OR(AND(Y304="Muy baja",AA304="Moderado"),AND(Y304="Baja",AA304="Menor"),AND(Y304="Baja",AA304="Moderado"),AND(Y304="Media",AA304="Leve"),AND(Y304="Media",AA304="Menor"),AND(Y304="Media",AA304="Moderado"),AND(Y304="Alta",AA304="Leve"),AND(Y304="Alta",AA304="Menor")),"Moderado",IF(OR(AND(Y304="Muy Baja",AA304="Mayor"),AND(Y304="Baja",AA304="Mayor"),AND(Y304="Media",AA304="Mayor"),AND(Y304="Alta",AA304="Moderado"),AND(Y304="Alta",AA304="Mayor"),AND(Y304="Muy Alta",AA304="Leve"),AND(Y304="Muy Alta",AA304="Menor"),AND(Y304="Muy Alta",AA304="Moderado"),AND(Y304="Muy Alta",AA304="Mayor")),"Alto",IF(OR(AND(Y304="Muy Baja",AA304="Catastrófico"),AND(Y304="Baja",AA304="Catastrófico"),AND(Y304="Media",AA304="Catastrófico"),AND(Y304="Alta",AA304="Catastrófico"),AND(Y304="Muy Alta",AA304="Catastrófico")),"Extremo","")))),"")</f>
        <v/>
      </c>
      <c r="AD304" s="140"/>
      <c r="AE304" s="132"/>
      <c r="AF304" s="133"/>
      <c r="AG304" s="134"/>
      <c r="AH304" s="134"/>
      <c r="AI304" s="132"/>
      <c r="AJ304" s="133"/>
    </row>
    <row r="305" spans="1:36" hidden="1" x14ac:dyDescent="0.3">
      <c r="A305" s="222"/>
      <c r="B305" s="224"/>
      <c r="C305" s="224"/>
      <c r="D305" s="224"/>
      <c r="E305" s="338"/>
      <c r="F305" s="224"/>
      <c r="G305" s="254"/>
      <c r="H305" s="242"/>
      <c r="I305" s="233"/>
      <c r="J305" s="236"/>
      <c r="K305" s="239">
        <f ca="1">IF(NOT(ISERROR(MATCH(J305,_xlfn.ANCHORARRAY(#REF!),0))),#REF!&amp;"Por favor no seleccionar los criterios de impacto",J305)</f>
        <v>0</v>
      </c>
      <c r="L305" s="242"/>
      <c r="M305" s="233"/>
      <c r="N305" s="230"/>
      <c r="O305" s="138">
        <v>5</v>
      </c>
      <c r="P305" s="123"/>
      <c r="Q305" s="124" t="str">
        <f t="shared" si="240"/>
        <v/>
      </c>
      <c r="R305" s="155"/>
      <c r="S305" s="155"/>
      <c r="T305" s="156" t="str">
        <f t="shared" si="235"/>
        <v/>
      </c>
      <c r="U305" s="155"/>
      <c r="V305" s="155"/>
      <c r="W305" s="155"/>
      <c r="X305" s="139" t="str">
        <f t="shared" si="241"/>
        <v/>
      </c>
      <c r="Y305" s="157" t="str">
        <f t="shared" si="236"/>
        <v/>
      </c>
      <c r="Z305" s="141" t="str">
        <f t="shared" si="237"/>
        <v/>
      </c>
      <c r="AA305" s="157" t="str">
        <f t="shared" si="238"/>
        <v/>
      </c>
      <c r="AB305" s="143" t="str">
        <f t="shared" si="242"/>
        <v/>
      </c>
      <c r="AC305" s="158" t="str">
        <f t="shared" si="239"/>
        <v/>
      </c>
      <c r="AD305" s="140"/>
      <c r="AE305" s="132"/>
      <c r="AF305" s="133"/>
      <c r="AG305" s="134"/>
      <c r="AH305" s="134"/>
      <c r="AI305" s="132"/>
      <c r="AJ305" s="133"/>
    </row>
    <row r="306" spans="1:36" hidden="1" x14ac:dyDescent="0.3">
      <c r="A306" s="211"/>
      <c r="B306" s="225"/>
      <c r="C306" s="225"/>
      <c r="D306" s="225"/>
      <c r="E306" s="351"/>
      <c r="F306" s="225"/>
      <c r="G306" s="255"/>
      <c r="H306" s="243"/>
      <c r="I306" s="234"/>
      <c r="J306" s="237"/>
      <c r="K306" s="240">
        <f ca="1">IF(NOT(ISERROR(MATCH(J306,_xlfn.ANCHORARRAY(#REF!),0))),I313&amp;"Por favor no seleccionar los criterios de impacto",J306)</f>
        <v>0</v>
      </c>
      <c r="L306" s="243"/>
      <c r="M306" s="234"/>
      <c r="N306" s="231"/>
      <c r="O306" s="138">
        <v>6</v>
      </c>
      <c r="P306" s="123"/>
      <c r="Q306" s="124" t="str">
        <f t="shared" si="240"/>
        <v/>
      </c>
      <c r="R306" s="155"/>
      <c r="S306" s="155"/>
      <c r="T306" s="156" t="str">
        <f t="shared" si="235"/>
        <v/>
      </c>
      <c r="U306" s="155"/>
      <c r="V306" s="155"/>
      <c r="W306" s="155"/>
      <c r="X306" s="139" t="str">
        <f t="shared" si="241"/>
        <v/>
      </c>
      <c r="Y306" s="157" t="str">
        <f t="shared" si="236"/>
        <v/>
      </c>
      <c r="Z306" s="141" t="str">
        <f t="shared" si="237"/>
        <v/>
      </c>
      <c r="AA306" s="157" t="str">
        <f t="shared" si="238"/>
        <v/>
      </c>
      <c r="AB306" s="143" t="str">
        <f t="shared" si="242"/>
        <v/>
      </c>
      <c r="AC306" s="158" t="str">
        <f t="shared" si="239"/>
        <v/>
      </c>
      <c r="AD306" s="140"/>
      <c r="AE306" s="132"/>
      <c r="AF306" s="133"/>
      <c r="AG306" s="134"/>
      <c r="AH306" s="134"/>
      <c r="AI306" s="132"/>
      <c r="AJ306" s="133"/>
    </row>
    <row r="307" spans="1:36" x14ac:dyDescent="0.3">
      <c r="A307" s="210">
        <v>2</v>
      </c>
      <c r="B307" s="223" t="s">
        <v>131</v>
      </c>
      <c r="C307" s="223" t="s">
        <v>362</v>
      </c>
      <c r="D307" s="223" t="s">
        <v>363</v>
      </c>
      <c r="E307" s="337" t="s">
        <v>364</v>
      </c>
      <c r="F307" s="223" t="s">
        <v>123</v>
      </c>
      <c r="G307" s="253">
        <v>200</v>
      </c>
      <c r="H307" s="241" t="str">
        <f>IF(G307&lt;=0,"",IF(G307&lt;=2,"Muy Baja",IF(G307&lt;=24,"Baja",IF(G307&lt;=500,"Media",IF(G307&lt;=5000,"Alta","Muy Alta")))))</f>
        <v>Media</v>
      </c>
      <c r="I307" s="232">
        <f>IF(H307="","",IF(H307="Muy Baja",0.2,IF(H307="Baja",0.4,IF(H307="Media",0.6,IF(H307="Alta",0.8,IF(H307="Muy Alta",1,))))))</f>
        <v>0.6</v>
      </c>
      <c r="J307" s="235" t="s">
        <v>148</v>
      </c>
      <c r="K307" s="238" t="str">
        <f>IF(NOT(ISERROR(MATCH(J307,'[11]Tabla Impacto'!$B$221:$B$223,0))),'[11]Tabla Impacto'!$F$223&amp;"Por favor no seleccionar los criterios de impacto(Afectación Económica o presupuestal y Pérdida Reputacional)",J307)</f>
        <v xml:space="preserve">     Entre 100 y 500 SMLMV </v>
      </c>
      <c r="L307" s="241" t="str">
        <f>IF(OR(K307='[11]Tabla Impacto'!$C$11,K307='[11]Tabla Impacto'!$D$11),"Leve",IF(OR(K307='[11]Tabla Impacto'!$C$12,K307='[11]Tabla Impacto'!$D$12),"Menor",IF(OR(K307='[11]Tabla Impacto'!$C$13,K307='[11]Tabla Impacto'!$D$13),"Moderado",IF(OR(K307='[11]Tabla Impacto'!$C$14,K307='[11]Tabla Impacto'!$D$14),"Mayor",IF(OR(K307='[11]Tabla Impacto'!$C$15,K307='[11]Tabla Impacto'!$D$15),"Catastrófico","")))))</f>
        <v>Mayor</v>
      </c>
      <c r="M307" s="232">
        <f>IF(L307="","",IF(L307="Leve",0.2,IF(L307="Menor",0.4,IF(L307="Moderado",0.6,IF(L307="Mayor",0.8,IF(L307="Catastrófico",1,))))))</f>
        <v>0.8</v>
      </c>
      <c r="N307" s="229" t="str">
        <f>IF(OR(AND(H307="Muy Baja",L307="Leve"),AND(H307="Muy Baja",L307="Menor"),AND(H307="Baja",L307="Leve")),"Bajo",IF(OR(AND(H307="Muy baja",L307="Moderado"),AND(H307="Baja",L307="Menor"),AND(H307="Baja",L307="Moderado"),AND(H307="Media",L307="Leve"),AND(H307="Media",L307="Menor"),AND(H307="Media",L307="Moderado"),AND(H307="Alta",L307="Leve"),AND(H307="Alta",L307="Menor")),"Moderado",IF(OR(AND(H307="Muy Baja",L307="Mayor"),AND(H307="Baja",L307="Mayor"),AND(H307="Media",L307="Mayor"),AND(H307="Alta",L307="Moderado"),AND(H307="Alta",L307="Mayor"),AND(H307="Muy Alta",L307="Leve"),AND(H307="Muy Alta",L307="Menor"),AND(H307="Muy Alta",L307="Moderado"),AND(H307="Muy Alta",L307="Mayor")),"Alto",IF(OR(AND(H307="Muy Baja",L307="Catastrófico"),AND(H307="Baja",L307="Catastrófico"),AND(H307="Media",L307="Catastrófico"),AND(H307="Alta",L307="Catastrófico"),AND(H307="Muy Alta",L307="Catastrófico")),"Extremo",""))))</f>
        <v>Alto</v>
      </c>
      <c r="O307" s="210">
        <v>2</v>
      </c>
      <c r="P307" s="349" t="s">
        <v>365</v>
      </c>
      <c r="Q307" s="220" t="str">
        <f>IF(OR(R307="Preventivo",R307="Detectivo"),"Probabilidad",IF(R307="Correctivo","Impacto",""))</f>
        <v>Probabilidad</v>
      </c>
      <c r="R307" s="202" t="s">
        <v>14</v>
      </c>
      <c r="S307" s="202" t="s">
        <v>9</v>
      </c>
      <c r="T307" s="200" t="str">
        <f>IF(AND(R307="Preventivo",S307="Automático"),"50%",IF(AND(R307="Preventivo",S307="Manual"),"40%",IF(AND(R307="Detectivo",S307="Automático"),"40%",IF(AND(R307="Detectivo",S307="Manual"),"30%",IF(AND(R307="Correctivo",S307="Automático"),"35%",IF(AND(R307="Correctivo",S307="Manual"),"25%",""))))))</f>
        <v>40%</v>
      </c>
      <c r="U307" s="202" t="s">
        <v>19</v>
      </c>
      <c r="V307" s="202" t="s">
        <v>22</v>
      </c>
      <c r="W307" s="202" t="s">
        <v>119</v>
      </c>
      <c r="X307" s="139">
        <f>IFERROR(IF(Q307="Probabilidad",(I307-(+I307*T307)),IF(Q307="Impacto",I307,"")),"")</f>
        <v>0.36</v>
      </c>
      <c r="Y307" s="204" t="str">
        <f>IFERROR(IF(X307="","",IF(X307&lt;=0.2,"Muy Baja",IF(X307&lt;=0.4,"Baja",IF(X307&lt;=0.6,"Media",IF(X307&lt;=0.8,"Alta","Muy Alta"))))),"")</f>
        <v>Baja</v>
      </c>
      <c r="Z307" s="200">
        <f>+X307</f>
        <v>0.36</v>
      </c>
      <c r="AA307" s="204" t="str">
        <f>IFERROR(IF(AB307="","",IF(AB307&lt;=0.2,"Leve",IF(AB307&lt;=0.4,"Menor",IF(AB307&lt;=0.6,"Moderado",IF(AB307&lt;=0.8,"Mayor","Catastrófico"))))),"")</f>
        <v>Mayor</v>
      </c>
      <c r="AB307" s="206">
        <f>IFERROR(IF(Q307="Impacto",(M307-(+M307*T307)),IF(Q307="Probabilidad",M307,"")),"")</f>
        <v>0.8</v>
      </c>
      <c r="AC307" s="208" t="str">
        <f>IFERROR(IF(OR(AND(Y307="Muy Baja",AA307="Leve"),AND(Y307="Muy Baja",AA307="Menor"),AND(Y307="Baja",AA307="Leve")),"Bajo",IF(OR(AND(Y307="Muy baja",AA307="Moderado"),AND(Y307="Baja",AA307="Menor"),AND(Y307="Baja",AA307="Moderado"),AND(Y307="Media",AA307="Leve"),AND(Y307="Media",AA307="Menor"),AND(Y307="Media",AA307="Moderado"),AND(Y307="Alta",AA307="Leve"),AND(Y307="Alta",AA307="Menor")),"Moderado",IF(OR(AND(Y307="Muy Baja",AA307="Mayor"),AND(Y307="Baja",AA307="Mayor"),AND(Y307="Media",AA307="Mayor"),AND(Y307="Alta",AA307="Moderado"),AND(Y307="Alta",AA307="Mayor"),AND(Y307="Muy Alta",AA307="Leve"),AND(Y307="Muy Alta",AA307="Menor"),AND(Y307="Muy Alta",AA307="Moderado"),AND(Y307="Muy Alta",AA307="Mayor")),"Alto",IF(OR(AND(Y307="Muy Baja",AA307="Catastrófico"),AND(Y307="Baja",AA307="Catastrófico"),AND(Y307="Media",AA307="Catastrófico"),AND(Y307="Alta",AA307="Catastrófico"),AND(Y307="Muy Alta",AA307="Catastrófico")),"Extremo","")))),"")</f>
        <v>Alto</v>
      </c>
      <c r="AD307" s="202" t="s">
        <v>31</v>
      </c>
      <c r="AE307" s="223"/>
      <c r="AF307" s="253"/>
      <c r="AG307" s="339"/>
      <c r="AH307" s="339"/>
      <c r="AI307" s="223"/>
      <c r="AJ307" s="253"/>
    </row>
    <row r="308" spans="1:36" ht="84.75" customHeight="1" x14ac:dyDescent="0.3">
      <c r="A308" s="222"/>
      <c r="B308" s="224"/>
      <c r="C308" s="224"/>
      <c r="D308" s="224"/>
      <c r="E308" s="338"/>
      <c r="F308" s="224"/>
      <c r="G308" s="254"/>
      <c r="H308" s="242"/>
      <c r="I308" s="233"/>
      <c r="J308" s="236"/>
      <c r="K308" s="239">
        <f ca="1">IF(NOT(ISERROR(MATCH(J308,_xlfn.ANCHORARRAY(E313),0))),I315&amp;"Por favor no seleccionar los criterios de impacto",J308)</f>
        <v>0</v>
      </c>
      <c r="L308" s="242"/>
      <c r="M308" s="233"/>
      <c r="N308" s="230"/>
      <c r="O308" s="211"/>
      <c r="P308" s="350"/>
      <c r="Q308" s="221"/>
      <c r="R308" s="203"/>
      <c r="S308" s="203"/>
      <c r="T308" s="201"/>
      <c r="U308" s="203"/>
      <c r="V308" s="203"/>
      <c r="W308" s="203"/>
      <c r="X308" s="139" t="str">
        <f>IFERROR(IF(AND(Q307="Probabilidad",Q308="Probabilidad"),(Z307-(+Z307*T308)),IF(Q308="Probabilidad",(I307-(+I307*T308)),IF(Q308="Impacto",Z307,""))),"")</f>
        <v/>
      </c>
      <c r="Y308" s="205"/>
      <c r="Z308" s="201"/>
      <c r="AA308" s="205"/>
      <c r="AB308" s="207"/>
      <c r="AC308" s="209"/>
      <c r="AD308" s="203"/>
      <c r="AE308" s="225"/>
      <c r="AF308" s="255"/>
      <c r="AG308" s="340"/>
      <c r="AH308" s="340"/>
      <c r="AI308" s="225"/>
      <c r="AJ308" s="255"/>
    </row>
    <row r="309" spans="1:36" hidden="1" x14ac:dyDescent="0.3">
      <c r="A309" s="222"/>
      <c r="B309" s="224"/>
      <c r="C309" s="224"/>
      <c r="D309" s="224"/>
      <c r="E309" s="338"/>
      <c r="F309" s="224"/>
      <c r="G309" s="254"/>
      <c r="H309" s="242"/>
      <c r="I309" s="233"/>
      <c r="J309" s="236"/>
      <c r="K309" s="239">
        <f ca="1">IF(NOT(ISERROR(MATCH(J309,_xlfn.ANCHORARRAY(E314),0))),I316&amp;"Por favor no seleccionar los criterios de impacto",J309)</f>
        <v>0</v>
      </c>
      <c r="L309" s="242"/>
      <c r="M309" s="233"/>
      <c r="N309" s="230"/>
      <c r="O309" s="138">
        <v>3</v>
      </c>
      <c r="P309" s="135"/>
      <c r="Q309" s="124" t="str">
        <f>IF(OR(R309="Preventivo",R309="Detectivo"),"Probabilidad",IF(R309="Correctivo","Impacto",""))</f>
        <v/>
      </c>
      <c r="R309" s="155"/>
      <c r="S309" s="155"/>
      <c r="T309" s="156" t="str">
        <f t="shared" ref="T309:T312" si="243">IF(AND(R309="Preventivo",S309="Automático"),"50%",IF(AND(R309="Preventivo",S309="Manual"),"40%",IF(AND(R309="Detectivo",S309="Automático"),"40%",IF(AND(R309="Detectivo",S309="Manual"),"30%",IF(AND(R309="Correctivo",S309="Automático"),"35%",IF(AND(R309="Correctivo",S309="Manual"),"25%",""))))))</f>
        <v/>
      </c>
      <c r="U309" s="155"/>
      <c r="V309" s="155"/>
      <c r="W309" s="155"/>
      <c r="X309" s="139" t="str">
        <f>IFERROR(IF(AND(Q308="Probabilidad",Q309="Probabilidad"),(Z308-(+Z308*T309)),IF(AND(Q308="Impacto",Q309="Probabilidad"),(Z307-(+Z307*T309)),IF(Q309="Impacto",Z308,""))),"")</f>
        <v/>
      </c>
      <c r="Y309" s="157" t="str">
        <f t="shared" si="236"/>
        <v/>
      </c>
      <c r="Z309" s="141" t="str">
        <f t="shared" ref="Z309:Z312" si="244">+X309</f>
        <v/>
      </c>
      <c r="AA309" s="157" t="str">
        <f t="shared" si="238"/>
        <v/>
      </c>
      <c r="AB309" s="143" t="str">
        <f>IFERROR(IF(AND(Q308="Impacto",Q309="Impacto"),(AB308-(+AB308*T309)),IF(AND(Q308="Probabilidad",Q309="Impacto"),(AB307-(+AB307*T309)),IF(Q309="Probabilidad",AB308,""))),"")</f>
        <v/>
      </c>
      <c r="AC309" s="158" t="str">
        <f t="shared" ref="AC309" si="245">IFERROR(IF(OR(AND(Y309="Muy Baja",AA309="Leve"),AND(Y309="Muy Baja",AA309="Menor"),AND(Y309="Baja",AA309="Leve")),"Bajo",IF(OR(AND(Y309="Muy baja",AA309="Moderado"),AND(Y309="Baja",AA309="Menor"),AND(Y309="Baja",AA309="Moderado"),AND(Y309="Media",AA309="Leve"),AND(Y309="Media",AA309="Menor"),AND(Y309="Media",AA309="Moderado"),AND(Y309="Alta",AA309="Leve"),AND(Y309="Alta",AA309="Menor")),"Moderado",IF(OR(AND(Y309="Muy Baja",AA309="Mayor"),AND(Y309="Baja",AA309="Mayor"),AND(Y309="Media",AA309="Mayor"),AND(Y309="Alta",AA309="Moderado"),AND(Y309="Alta",AA309="Mayor"),AND(Y309="Muy Alta",AA309="Leve"),AND(Y309="Muy Alta",AA309="Menor"),AND(Y309="Muy Alta",AA309="Moderado"),AND(Y309="Muy Alta",AA309="Mayor")),"Alto",IF(OR(AND(Y309="Muy Baja",AA309="Catastrófico"),AND(Y309="Baja",AA309="Catastrófico"),AND(Y309="Media",AA309="Catastrófico"),AND(Y309="Alta",AA309="Catastrófico"),AND(Y309="Muy Alta",AA309="Catastrófico")),"Extremo","")))),"")</f>
        <v/>
      </c>
      <c r="AD309" s="140"/>
      <c r="AE309" s="132"/>
      <c r="AF309" s="133"/>
      <c r="AG309" s="134"/>
      <c r="AH309" s="134"/>
      <c r="AI309" s="132"/>
      <c r="AJ309" s="133"/>
    </row>
    <row r="310" spans="1:36" hidden="1" x14ac:dyDescent="0.3">
      <c r="A310" s="222"/>
      <c r="B310" s="224"/>
      <c r="C310" s="224"/>
      <c r="D310" s="224"/>
      <c r="E310" s="338"/>
      <c r="F310" s="224"/>
      <c r="G310" s="254"/>
      <c r="H310" s="242"/>
      <c r="I310" s="233"/>
      <c r="J310" s="236"/>
      <c r="K310" s="239">
        <f ca="1">IF(NOT(ISERROR(MATCH(J310,_xlfn.ANCHORARRAY(E315),0))),I317&amp;"Por favor no seleccionar los criterios de impacto",J310)</f>
        <v>0</v>
      </c>
      <c r="L310" s="242"/>
      <c r="M310" s="233"/>
      <c r="N310" s="230"/>
      <c r="O310" s="138">
        <v>4</v>
      </c>
      <c r="P310" s="123"/>
      <c r="Q310" s="124" t="str">
        <f t="shared" ref="Q310:Q312" si="246">IF(OR(R310="Preventivo",R310="Detectivo"),"Probabilidad",IF(R310="Correctivo","Impacto",""))</f>
        <v/>
      </c>
      <c r="R310" s="155"/>
      <c r="S310" s="155"/>
      <c r="T310" s="156" t="str">
        <f t="shared" si="243"/>
        <v/>
      </c>
      <c r="U310" s="155"/>
      <c r="V310" s="155"/>
      <c r="W310" s="155"/>
      <c r="X310" s="139" t="str">
        <f t="shared" ref="X310:X312" si="247">IFERROR(IF(AND(Q309="Probabilidad",Q310="Probabilidad"),(Z309-(+Z309*T310)),IF(AND(Q309="Impacto",Q310="Probabilidad"),(Z308-(+Z308*T310)),IF(Q310="Impacto",Z309,""))),"")</f>
        <v/>
      </c>
      <c r="Y310" s="157" t="str">
        <f t="shared" si="236"/>
        <v/>
      </c>
      <c r="Z310" s="141" t="str">
        <f t="shared" si="244"/>
        <v/>
      </c>
      <c r="AA310" s="157" t="str">
        <f t="shared" si="238"/>
        <v/>
      </c>
      <c r="AB310" s="143" t="str">
        <f t="shared" ref="AB310:AB312" si="248">IFERROR(IF(AND(Q309="Impacto",Q310="Impacto"),(AB309-(+AB309*T310)),IF(AND(Q309="Probabilidad",Q310="Impacto"),(AB308-(+AB308*T310)),IF(Q310="Probabilidad",AB309,""))),"")</f>
        <v/>
      </c>
      <c r="AC310" s="158" t="str">
        <f>IFERROR(IF(OR(AND(Y310="Muy Baja",AA310="Leve"),AND(Y310="Muy Baja",AA310="Menor"),AND(Y310="Baja",AA310="Leve")),"Bajo",IF(OR(AND(Y310="Muy baja",AA310="Moderado"),AND(Y310="Baja",AA310="Menor"),AND(Y310="Baja",AA310="Moderado"),AND(Y310="Media",AA310="Leve"),AND(Y310="Media",AA310="Menor"),AND(Y310="Media",AA310="Moderado"),AND(Y310="Alta",AA310="Leve"),AND(Y310="Alta",AA310="Menor")),"Moderado",IF(OR(AND(Y310="Muy Baja",AA310="Mayor"),AND(Y310="Baja",AA310="Mayor"),AND(Y310="Media",AA310="Mayor"),AND(Y310="Alta",AA310="Moderado"),AND(Y310="Alta",AA310="Mayor"),AND(Y310="Muy Alta",AA310="Leve"),AND(Y310="Muy Alta",AA310="Menor"),AND(Y310="Muy Alta",AA310="Moderado"),AND(Y310="Muy Alta",AA310="Mayor")),"Alto",IF(OR(AND(Y310="Muy Baja",AA310="Catastrófico"),AND(Y310="Baja",AA310="Catastrófico"),AND(Y310="Media",AA310="Catastrófico"),AND(Y310="Alta",AA310="Catastrófico"),AND(Y310="Muy Alta",AA310="Catastrófico")),"Extremo","")))),"")</f>
        <v/>
      </c>
      <c r="AD310" s="140"/>
      <c r="AE310" s="132"/>
      <c r="AF310" s="133"/>
      <c r="AG310" s="134"/>
      <c r="AH310" s="134"/>
      <c r="AI310" s="132"/>
      <c r="AJ310" s="133"/>
    </row>
    <row r="311" spans="1:36" hidden="1" x14ac:dyDescent="0.3">
      <c r="A311" s="222"/>
      <c r="B311" s="224"/>
      <c r="C311" s="224"/>
      <c r="D311" s="224"/>
      <c r="E311" s="338"/>
      <c r="F311" s="224"/>
      <c r="G311" s="254"/>
      <c r="H311" s="242"/>
      <c r="I311" s="233"/>
      <c r="J311" s="236"/>
      <c r="K311" s="239">
        <f ca="1">IF(NOT(ISERROR(MATCH(J311,_xlfn.ANCHORARRAY(E316),0))),I318&amp;"Por favor no seleccionar los criterios de impacto",J311)</f>
        <v>0</v>
      </c>
      <c r="L311" s="242"/>
      <c r="M311" s="233"/>
      <c r="N311" s="230"/>
      <c r="O311" s="138">
        <v>5</v>
      </c>
      <c r="P311" s="123"/>
      <c r="Q311" s="124" t="str">
        <f t="shared" si="246"/>
        <v/>
      </c>
      <c r="R311" s="155"/>
      <c r="S311" s="155"/>
      <c r="T311" s="156" t="str">
        <f t="shared" si="243"/>
        <v/>
      </c>
      <c r="U311" s="155"/>
      <c r="V311" s="155"/>
      <c r="W311" s="155"/>
      <c r="X311" s="139" t="str">
        <f t="shared" si="247"/>
        <v/>
      </c>
      <c r="Y311" s="157" t="str">
        <f t="shared" si="236"/>
        <v/>
      </c>
      <c r="Z311" s="141" t="str">
        <f t="shared" si="244"/>
        <v/>
      </c>
      <c r="AA311" s="157" t="str">
        <f t="shared" si="238"/>
        <v/>
      </c>
      <c r="AB311" s="143" t="str">
        <f t="shared" si="248"/>
        <v/>
      </c>
      <c r="AC311" s="158" t="str">
        <f t="shared" ref="AC311:AC312" si="249">IFERROR(IF(OR(AND(Y311="Muy Baja",AA311="Leve"),AND(Y311="Muy Baja",AA311="Menor"),AND(Y311="Baja",AA311="Leve")),"Bajo",IF(OR(AND(Y311="Muy baja",AA311="Moderado"),AND(Y311="Baja",AA311="Menor"),AND(Y311="Baja",AA311="Moderado"),AND(Y311="Media",AA311="Leve"),AND(Y311="Media",AA311="Menor"),AND(Y311="Media",AA311="Moderado"),AND(Y311="Alta",AA311="Leve"),AND(Y311="Alta",AA311="Menor")),"Moderado",IF(OR(AND(Y311="Muy Baja",AA311="Mayor"),AND(Y311="Baja",AA311="Mayor"),AND(Y311="Media",AA311="Mayor"),AND(Y311="Alta",AA311="Moderado"),AND(Y311="Alta",AA311="Mayor"),AND(Y311="Muy Alta",AA311="Leve"),AND(Y311="Muy Alta",AA311="Menor"),AND(Y311="Muy Alta",AA311="Moderado"),AND(Y311="Muy Alta",AA311="Mayor")),"Alto",IF(OR(AND(Y311="Muy Baja",AA311="Catastrófico"),AND(Y311="Baja",AA311="Catastrófico"),AND(Y311="Media",AA311="Catastrófico"),AND(Y311="Alta",AA311="Catastrófico"),AND(Y311="Muy Alta",AA311="Catastrófico")),"Extremo","")))),"")</f>
        <v/>
      </c>
      <c r="AD311" s="140"/>
      <c r="AE311" s="132"/>
      <c r="AF311" s="133"/>
      <c r="AG311" s="134"/>
      <c r="AH311" s="134"/>
      <c r="AI311" s="132"/>
      <c r="AJ311" s="133"/>
    </row>
    <row r="312" spans="1:36" hidden="1" x14ac:dyDescent="0.3">
      <c r="A312" s="211"/>
      <c r="B312" s="225"/>
      <c r="C312" s="225"/>
      <c r="D312" s="225"/>
      <c r="E312" s="351"/>
      <c r="F312" s="225"/>
      <c r="G312" s="255"/>
      <c r="H312" s="243"/>
      <c r="I312" s="234"/>
      <c r="J312" s="237"/>
      <c r="K312" s="240">
        <f ca="1">IF(NOT(ISERROR(MATCH(J312,_xlfn.ANCHORARRAY(E317),0))),#REF!&amp;"Por favor no seleccionar los criterios de impacto",J312)</f>
        <v>0</v>
      </c>
      <c r="L312" s="243"/>
      <c r="M312" s="234"/>
      <c r="N312" s="231"/>
      <c r="O312" s="138">
        <v>6</v>
      </c>
      <c r="P312" s="123"/>
      <c r="Q312" s="124" t="str">
        <f t="shared" si="246"/>
        <v/>
      </c>
      <c r="R312" s="155"/>
      <c r="S312" s="155"/>
      <c r="T312" s="156" t="str">
        <f t="shared" si="243"/>
        <v/>
      </c>
      <c r="U312" s="155"/>
      <c r="V312" s="155"/>
      <c r="W312" s="155"/>
      <c r="X312" s="139" t="str">
        <f t="shared" si="247"/>
        <v/>
      </c>
      <c r="Y312" s="157" t="str">
        <f t="shared" si="236"/>
        <v/>
      </c>
      <c r="Z312" s="141" t="str">
        <f t="shared" si="244"/>
        <v/>
      </c>
      <c r="AA312" s="157" t="str">
        <f t="shared" si="238"/>
        <v/>
      </c>
      <c r="AB312" s="143" t="str">
        <f t="shared" si="248"/>
        <v/>
      </c>
      <c r="AC312" s="158" t="str">
        <f t="shared" si="249"/>
        <v/>
      </c>
      <c r="AD312" s="140"/>
      <c r="AE312" s="132"/>
      <c r="AF312" s="133"/>
      <c r="AG312" s="134"/>
      <c r="AH312" s="134"/>
      <c r="AI312" s="132"/>
      <c r="AJ312" s="133"/>
    </row>
    <row r="313" spans="1:36" ht="198" customHeight="1" x14ac:dyDescent="0.3">
      <c r="A313" s="210">
        <v>3</v>
      </c>
      <c r="B313" s="223" t="s">
        <v>133</v>
      </c>
      <c r="C313" s="223" t="s">
        <v>362</v>
      </c>
      <c r="D313" s="223" t="s">
        <v>366</v>
      </c>
      <c r="E313" s="226" t="s">
        <v>367</v>
      </c>
      <c r="F313" s="223" t="s">
        <v>127</v>
      </c>
      <c r="G313" s="253">
        <v>2</v>
      </c>
      <c r="H313" s="241" t="str">
        <f>IF(G313&lt;=0,"",IF(G313&lt;=2,"Muy Baja",IF(G313&lt;=24,"Baja",IF(G313&lt;=500,"Media",IF(G313&lt;=5000,"Alta","Muy Alta")))))</f>
        <v>Muy Baja</v>
      </c>
      <c r="I313" s="232">
        <f>IF(H313="","",IF(H313="Muy Baja",0.2,IF(H313="Baja",0.4,IF(H313="Media",0.6,IF(H313="Alta",0.8,IF(H313="Muy Alta",1,))))))</f>
        <v>0.2</v>
      </c>
      <c r="J313" s="235" t="s">
        <v>143</v>
      </c>
      <c r="K313" s="238" t="str">
        <f>IF(NOT(ISERROR(MATCH(J313,'[11]Tabla Impacto'!$B$221:$B$223,0))),'[11]Tabla Impacto'!$F$223&amp;"Por favor no seleccionar los criterios de impacto(Afectación Económica o presupuestal y Pérdida Reputacional)",J313)</f>
        <v xml:space="preserve">     Afectación menor a 10 SMLMV .</v>
      </c>
      <c r="L313" s="241" t="str">
        <f>IF(OR(K313='[11]Tabla Impacto'!$C$11,K313='[11]Tabla Impacto'!$D$11),"Leve",IF(OR(K313='[11]Tabla Impacto'!$C$12,K313='[11]Tabla Impacto'!$D$12),"Menor",IF(OR(K313='[11]Tabla Impacto'!$C$13,K313='[11]Tabla Impacto'!$D$13),"Moderado",IF(OR(K313='[11]Tabla Impacto'!$C$14,K313='[11]Tabla Impacto'!$D$14),"Mayor",IF(OR(K313='[11]Tabla Impacto'!$C$15,K313='[11]Tabla Impacto'!$D$15),"Catastrófico","")))))</f>
        <v>Leve</v>
      </c>
      <c r="M313" s="232">
        <f>IF(L313="","",IF(L313="Leve",0.2,IF(L313="Menor",0.4,IF(L313="Moderado",0.6,IF(L313="Mayor",0.8,IF(L313="Catastrófico",1,))))))</f>
        <v>0.2</v>
      </c>
      <c r="N313" s="229" t="str">
        <f>IF(OR(AND(H313="Muy Baja",L313="Leve"),AND(H313="Muy Baja",L313="Menor"),AND(H313="Baja",L313="Leve")),"Bajo",IF(OR(AND(H313="Muy baja",L313="Moderado"),AND(H313="Baja",L313="Menor"),AND(H313="Baja",L313="Moderado"),AND(H313="Media",L313="Leve"),AND(H313="Media",L313="Menor"),AND(H313="Media",L313="Moderado"),AND(H313="Alta",L313="Leve"),AND(H313="Alta",L313="Menor")),"Moderado",IF(OR(AND(H313="Muy Baja",L313="Mayor"),AND(H313="Baja",L313="Mayor"),AND(H313="Media",L313="Mayor"),AND(H313="Alta",L313="Moderado"),AND(H313="Alta",L313="Mayor"),AND(H313="Muy Alta",L313="Leve"),AND(H313="Muy Alta",L313="Menor"),AND(H313="Muy Alta",L313="Moderado"),AND(H313="Muy Alta",L313="Mayor")),"Alto",IF(OR(AND(H313="Muy Baja",L313="Catastrófico"),AND(H313="Baja",L313="Catastrófico"),AND(H313="Media",L313="Catastrófico"),AND(H313="Alta",L313="Catastrófico"),AND(H313="Muy Alta",L313="Catastrófico")),"Extremo",""))))</f>
        <v>Bajo</v>
      </c>
      <c r="O313" s="138">
        <v>3</v>
      </c>
      <c r="P313" s="154" t="s">
        <v>368</v>
      </c>
      <c r="Q313" s="153" t="str">
        <f>IF(OR(R313="Preventivo",R313="Detectivo"),"Probabilidad",IF(R313="Correctivo","Impacto",""))</f>
        <v>Probabilidad</v>
      </c>
      <c r="R313" s="155" t="s">
        <v>15</v>
      </c>
      <c r="S313" s="155" t="s">
        <v>9</v>
      </c>
      <c r="T313" s="156" t="str">
        <f>IF(AND(R313="Preventivo",S313="Automático"),"50%",IF(AND(R313="Preventivo",S313="Manual"),"40%",IF(AND(R313="Detectivo",S313="Automático"),"40%",IF(AND(R313="Detectivo",S313="Manual"),"30%",IF(AND(R313="Correctivo",S313="Automático"),"35%",IF(AND(R313="Correctivo",S313="Manual"),"25%",""))))))</f>
        <v>30%</v>
      </c>
      <c r="U313" s="155" t="s">
        <v>20</v>
      </c>
      <c r="V313" s="155" t="s">
        <v>22</v>
      </c>
      <c r="W313" s="155" t="s">
        <v>119</v>
      </c>
      <c r="X313" s="139">
        <f>IFERROR(IF(Q313="Probabilidad",(I313-(+I313*T313)),IF(Q313="Impacto",I313,"")),"")</f>
        <v>0.14000000000000001</v>
      </c>
      <c r="Y313" s="157" t="str">
        <f>IFERROR(IF(X313="","",IF(X313&lt;=0.2,"Muy Baja",IF(X313&lt;=0.4,"Baja",IF(X313&lt;=0.6,"Media",IF(X313&lt;=0.8,"Alta","Muy Alta"))))),"")</f>
        <v>Muy Baja</v>
      </c>
      <c r="Z313" s="141">
        <f>+X313</f>
        <v>0.14000000000000001</v>
      </c>
      <c r="AA313" s="157" t="str">
        <f>IFERROR(IF(AB313="","",IF(AB313&lt;=0.2,"Leve",IF(AB313&lt;=0.4,"Menor",IF(AB313&lt;=0.6,"Moderado",IF(AB313&lt;=0.8,"Mayor","Catastrófico"))))),"")</f>
        <v>Leve</v>
      </c>
      <c r="AB313" s="143">
        <f>IFERROR(IF(Q313="Impacto",(M313-(+M313*T313)),IF(Q313="Probabilidad",M313,"")),"")</f>
        <v>0.2</v>
      </c>
      <c r="AC313" s="158" t="str">
        <f>IFERROR(IF(OR(AND(Y313="Muy Baja",AA313="Leve"),AND(Y313="Muy Baja",AA313="Menor"),AND(Y313="Baja",AA313="Leve")),"Bajo",IF(OR(AND(Y313="Muy baja",AA313="Moderado"),AND(Y313="Baja",AA313="Menor"),AND(Y313="Baja",AA313="Moderado"),AND(Y313="Media",AA313="Leve"),AND(Y313="Media",AA313="Menor"),AND(Y313="Media",AA313="Moderado"),AND(Y313="Alta",AA313="Leve"),AND(Y313="Alta",AA313="Menor")),"Moderado",IF(OR(AND(Y313="Muy Baja",AA313="Mayor"),AND(Y313="Baja",AA313="Mayor"),AND(Y313="Media",AA313="Mayor"),AND(Y313="Alta",AA313="Moderado"),AND(Y313="Alta",AA313="Mayor"),AND(Y313="Muy Alta",AA313="Leve"),AND(Y313="Muy Alta",AA313="Menor"),AND(Y313="Muy Alta",AA313="Moderado"),AND(Y313="Muy Alta",AA313="Mayor")),"Alto",IF(OR(AND(Y313="Muy Baja",AA313="Catastrófico"),AND(Y313="Baja",AA313="Catastrófico"),AND(Y313="Media",AA313="Catastrófico"),AND(Y313="Alta",AA313="Catastrófico"),AND(Y313="Muy Alta",AA313="Catastrófico")),"Extremo","")))),"")</f>
        <v>Bajo</v>
      </c>
      <c r="AD313" s="140" t="s">
        <v>136</v>
      </c>
      <c r="AE313" s="132"/>
      <c r="AF313" s="133"/>
      <c r="AG313" s="134"/>
      <c r="AH313" s="134"/>
      <c r="AI313" s="132"/>
      <c r="AJ313" s="133"/>
    </row>
    <row r="314" spans="1:36" hidden="1" x14ac:dyDescent="0.3">
      <c r="A314" s="222"/>
      <c r="B314" s="224"/>
      <c r="C314" s="224"/>
      <c r="D314" s="224"/>
      <c r="E314" s="227"/>
      <c r="F314" s="224"/>
      <c r="G314" s="254"/>
      <c r="H314" s="242"/>
      <c r="I314" s="233"/>
      <c r="J314" s="236"/>
      <c r="K314" s="239">
        <f ca="1">IF(NOT(ISERROR(MATCH(J314,_xlfn.ANCHORARRAY(E324),0))),I326&amp;"Por favor no seleccionar los criterios de impacto",J314)</f>
        <v>0</v>
      </c>
      <c r="L314" s="242"/>
      <c r="M314" s="233"/>
      <c r="N314" s="230"/>
      <c r="O314" s="138">
        <v>2</v>
      </c>
      <c r="P314" s="123"/>
      <c r="Q314" s="124" t="str">
        <f>IF(OR(R314="Preventivo",R314="Detectivo"),"Probabilidad",IF(R314="Correctivo","Impacto",""))</f>
        <v/>
      </c>
      <c r="R314" s="155"/>
      <c r="S314" s="155"/>
      <c r="T314" s="156" t="str">
        <f t="shared" ref="T314:T318" si="250">IF(AND(R314="Preventivo",S314="Automático"),"50%",IF(AND(R314="Preventivo",S314="Manual"),"40%",IF(AND(R314="Detectivo",S314="Automático"),"40%",IF(AND(R314="Detectivo",S314="Manual"),"30%",IF(AND(R314="Correctivo",S314="Automático"),"35%",IF(AND(R314="Correctivo",S314="Manual"),"25%",""))))))</f>
        <v/>
      </c>
      <c r="U314" s="155"/>
      <c r="V314" s="155"/>
      <c r="W314" s="155"/>
      <c r="X314" s="139" t="str">
        <f>IFERROR(IF(AND(Q313="Probabilidad",Q314="Probabilidad"),(Z313-(+Z313*T314)),IF(Q314="Probabilidad",(I313-(+I313*T314)),IF(Q314="Impacto",Z313,""))),"")</f>
        <v/>
      </c>
      <c r="Y314" s="157" t="str">
        <f t="shared" si="236"/>
        <v/>
      </c>
      <c r="Z314" s="141" t="str">
        <f t="shared" ref="Z314:Z318" si="251">+X314</f>
        <v/>
      </c>
      <c r="AA314" s="157" t="str">
        <f t="shared" si="238"/>
        <v/>
      </c>
      <c r="AB314" s="143" t="str">
        <f>IFERROR(IF(AND(Q313="Impacto",Q314="Impacto"),(AB313-(+AB313*T314)),IF(Q314="Impacto",(M313-(+M313*T314)),IF(Q314="Probabilidad",AB313,""))),"")</f>
        <v/>
      </c>
      <c r="AC314" s="158" t="str">
        <f t="shared" ref="AC314:AC315" si="252">IFERROR(IF(OR(AND(Y314="Muy Baja",AA314="Leve"),AND(Y314="Muy Baja",AA314="Menor"),AND(Y314="Baja",AA314="Leve")),"Bajo",IF(OR(AND(Y314="Muy baja",AA314="Moderado"),AND(Y314="Baja",AA314="Menor"),AND(Y314="Baja",AA314="Moderado"),AND(Y314="Media",AA314="Leve"),AND(Y314="Media",AA314="Menor"),AND(Y314="Media",AA314="Moderado"),AND(Y314="Alta",AA314="Leve"),AND(Y314="Alta",AA314="Menor")),"Moderado",IF(OR(AND(Y314="Muy Baja",AA314="Mayor"),AND(Y314="Baja",AA314="Mayor"),AND(Y314="Media",AA314="Mayor"),AND(Y314="Alta",AA314="Moderado"),AND(Y314="Alta",AA314="Mayor"),AND(Y314="Muy Alta",AA314="Leve"),AND(Y314="Muy Alta",AA314="Menor"),AND(Y314="Muy Alta",AA314="Moderado"),AND(Y314="Muy Alta",AA314="Mayor")),"Alto",IF(OR(AND(Y314="Muy Baja",AA314="Catastrófico"),AND(Y314="Baja",AA314="Catastrófico"),AND(Y314="Media",AA314="Catastrófico"),AND(Y314="Alta",AA314="Catastrófico"),AND(Y314="Muy Alta",AA314="Catastrófico")),"Extremo","")))),"")</f>
        <v/>
      </c>
      <c r="AD314" s="140"/>
      <c r="AE314" s="132"/>
      <c r="AF314" s="133"/>
      <c r="AG314" s="134"/>
      <c r="AH314" s="134"/>
      <c r="AI314" s="132"/>
      <c r="AJ314" s="133"/>
    </row>
    <row r="315" spans="1:36" hidden="1" x14ac:dyDescent="0.3">
      <c r="A315" s="222"/>
      <c r="B315" s="224"/>
      <c r="C315" s="224"/>
      <c r="D315" s="224"/>
      <c r="E315" s="227"/>
      <c r="F315" s="224"/>
      <c r="G315" s="254"/>
      <c r="H315" s="242"/>
      <c r="I315" s="233"/>
      <c r="J315" s="236"/>
      <c r="K315" s="239">
        <f ca="1">IF(NOT(ISERROR(MATCH(J315,_xlfn.ANCHORARRAY(E325),0))),I327&amp;"Por favor no seleccionar los criterios de impacto",J315)</f>
        <v>0</v>
      </c>
      <c r="L315" s="242"/>
      <c r="M315" s="233"/>
      <c r="N315" s="230"/>
      <c r="O315" s="138">
        <v>3</v>
      </c>
      <c r="P315" s="135"/>
      <c r="Q315" s="124" t="str">
        <f>IF(OR(R315="Preventivo",R315="Detectivo"),"Probabilidad",IF(R315="Correctivo","Impacto",""))</f>
        <v/>
      </c>
      <c r="R315" s="155"/>
      <c r="S315" s="155"/>
      <c r="T315" s="156" t="str">
        <f t="shared" si="250"/>
        <v/>
      </c>
      <c r="U315" s="155"/>
      <c r="V315" s="155"/>
      <c r="W315" s="155"/>
      <c r="X315" s="139" t="str">
        <f>IFERROR(IF(AND(Q314="Probabilidad",Q315="Probabilidad"),(Z314-(+Z314*T315)),IF(AND(Q314="Impacto",Q315="Probabilidad"),(Z313-(+Z313*T315)),IF(Q315="Impacto",Z314,""))),"")</f>
        <v/>
      </c>
      <c r="Y315" s="157" t="str">
        <f t="shared" si="236"/>
        <v/>
      </c>
      <c r="Z315" s="141" t="str">
        <f t="shared" si="251"/>
        <v/>
      </c>
      <c r="AA315" s="157" t="str">
        <f t="shared" si="238"/>
        <v/>
      </c>
      <c r="AB315" s="143" t="str">
        <f>IFERROR(IF(AND(Q314="Impacto",Q315="Impacto"),(AB314-(+AB314*T315)),IF(AND(Q314="Probabilidad",Q315="Impacto"),(AB313-(+AB313*T315)),IF(Q315="Probabilidad",AB314,""))),"")</f>
        <v/>
      </c>
      <c r="AC315" s="158" t="str">
        <f t="shared" si="252"/>
        <v/>
      </c>
      <c r="AD315" s="140"/>
      <c r="AE315" s="132"/>
      <c r="AF315" s="133"/>
      <c r="AG315" s="134"/>
      <c r="AH315" s="134"/>
      <c r="AI315" s="132"/>
      <c r="AJ315" s="133"/>
    </row>
    <row r="316" spans="1:36" hidden="1" x14ac:dyDescent="0.3">
      <c r="A316" s="222"/>
      <c r="B316" s="224"/>
      <c r="C316" s="224"/>
      <c r="D316" s="224"/>
      <c r="E316" s="227"/>
      <c r="F316" s="224"/>
      <c r="G316" s="254"/>
      <c r="H316" s="242"/>
      <c r="I316" s="233"/>
      <c r="J316" s="236"/>
      <c r="K316" s="239">
        <f ca="1">IF(NOT(ISERROR(MATCH(J316,_xlfn.ANCHORARRAY(E326),0))),I328&amp;"Por favor no seleccionar los criterios de impacto",J316)</f>
        <v>0</v>
      </c>
      <c r="L316" s="242"/>
      <c r="M316" s="233"/>
      <c r="N316" s="230"/>
      <c r="O316" s="138">
        <v>4</v>
      </c>
      <c r="P316" s="123"/>
      <c r="Q316" s="124" t="str">
        <f t="shared" ref="Q316:Q318" si="253">IF(OR(R316="Preventivo",R316="Detectivo"),"Probabilidad",IF(R316="Correctivo","Impacto",""))</f>
        <v/>
      </c>
      <c r="R316" s="155"/>
      <c r="S316" s="155"/>
      <c r="T316" s="156" t="str">
        <f t="shared" si="250"/>
        <v/>
      </c>
      <c r="U316" s="155"/>
      <c r="V316" s="155"/>
      <c r="W316" s="155"/>
      <c r="X316" s="139" t="str">
        <f t="shared" ref="X316:X318" si="254">IFERROR(IF(AND(Q315="Probabilidad",Q316="Probabilidad"),(Z315-(+Z315*T316)),IF(AND(Q315="Impacto",Q316="Probabilidad"),(Z314-(+Z314*T316)),IF(Q316="Impacto",Z315,""))),"")</f>
        <v/>
      </c>
      <c r="Y316" s="157" t="str">
        <f t="shared" si="236"/>
        <v/>
      </c>
      <c r="Z316" s="141" t="str">
        <f t="shared" si="251"/>
        <v/>
      </c>
      <c r="AA316" s="157" t="str">
        <f t="shared" si="238"/>
        <v/>
      </c>
      <c r="AB316" s="143" t="str">
        <f t="shared" ref="AB316:AB318" si="255">IFERROR(IF(AND(Q315="Impacto",Q316="Impacto"),(AB315-(+AB315*T316)),IF(AND(Q315="Probabilidad",Q316="Impacto"),(AB314-(+AB314*T316)),IF(Q316="Probabilidad",AB315,""))),"")</f>
        <v/>
      </c>
      <c r="AC316" s="158" t="str">
        <f>IFERROR(IF(OR(AND(Y316="Muy Baja",AA316="Leve"),AND(Y316="Muy Baja",AA316="Menor"),AND(Y316="Baja",AA316="Leve")),"Bajo",IF(OR(AND(Y316="Muy baja",AA316="Moderado"),AND(Y316="Baja",AA316="Menor"),AND(Y316="Baja",AA316="Moderado"),AND(Y316="Media",AA316="Leve"),AND(Y316="Media",AA316="Menor"),AND(Y316="Media",AA316="Moderado"),AND(Y316="Alta",AA316="Leve"),AND(Y316="Alta",AA316="Menor")),"Moderado",IF(OR(AND(Y316="Muy Baja",AA316="Mayor"),AND(Y316="Baja",AA316="Mayor"),AND(Y316="Media",AA316="Mayor"),AND(Y316="Alta",AA316="Moderado"),AND(Y316="Alta",AA316="Mayor"),AND(Y316="Muy Alta",AA316="Leve"),AND(Y316="Muy Alta",AA316="Menor"),AND(Y316="Muy Alta",AA316="Moderado"),AND(Y316="Muy Alta",AA316="Mayor")),"Alto",IF(OR(AND(Y316="Muy Baja",AA316="Catastrófico"),AND(Y316="Baja",AA316="Catastrófico"),AND(Y316="Media",AA316="Catastrófico"),AND(Y316="Alta",AA316="Catastrófico"),AND(Y316="Muy Alta",AA316="Catastrófico")),"Extremo","")))),"")</f>
        <v/>
      </c>
      <c r="AD316" s="140"/>
      <c r="AE316" s="132"/>
      <c r="AF316" s="133"/>
      <c r="AG316" s="134"/>
      <c r="AH316" s="134"/>
      <c r="AI316" s="132"/>
      <c r="AJ316" s="133"/>
    </row>
    <row r="317" spans="1:36" hidden="1" x14ac:dyDescent="0.3">
      <c r="A317" s="222"/>
      <c r="B317" s="224"/>
      <c r="C317" s="224"/>
      <c r="D317" s="224"/>
      <c r="E317" s="227"/>
      <c r="F317" s="224"/>
      <c r="G317" s="254"/>
      <c r="H317" s="242"/>
      <c r="I317" s="233"/>
      <c r="J317" s="236"/>
      <c r="K317" s="239">
        <f ca="1">IF(NOT(ISERROR(MATCH(J317,_xlfn.ANCHORARRAY(E327),0))),I329&amp;"Por favor no seleccionar los criterios de impacto",J317)</f>
        <v>0</v>
      </c>
      <c r="L317" s="242"/>
      <c r="M317" s="233"/>
      <c r="N317" s="230"/>
      <c r="O317" s="138">
        <v>5</v>
      </c>
      <c r="P317" s="123"/>
      <c r="Q317" s="124" t="str">
        <f t="shared" si="253"/>
        <v/>
      </c>
      <c r="R317" s="155"/>
      <c r="S317" s="155"/>
      <c r="T317" s="156" t="str">
        <f t="shared" si="250"/>
        <v/>
      </c>
      <c r="U317" s="155"/>
      <c r="V317" s="155"/>
      <c r="W317" s="155"/>
      <c r="X317" s="160" t="str">
        <f t="shared" si="254"/>
        <v/>
      </c>
      <c r="Y317" s="157" t="str">
        <f>IFERROR(IF(X317="","",IF(X317&lt;=0.2,"Muy Baja",IF(X317&lt;=0.4,"Baja",IF(X317&lt;=0.6,"Media",IF(X317&lt;=0.8,"Alta","Muy Alta"))))),"")</f>
        <v/>
      </c>
      <c r="Z317" s="141" t="str">
        <f t="shared" si="251"/>
        <v/>
      </c>
      <c r="AA317" s="157" t="str">
        <f t="shared" si="238"/>
        <v/>
      </c>
      <c r="AB317" s="143" t="str">
        <f t="shared" si="255"/>
        <v/>
      </c>
      <c r="AC317" s="158" t="str">
        <f t="shared" ref="AC317:AC318" si="256">IFERROR(IF(OR(AND(Y317="Muy Baja",AA317="Leve"),AND(Y317="Muy Baja",AA317="Menor"),AND(Y317="Baja",AA317="Leve")),"Bajo",IF(OR(AND(Y317="Muy baja",AA317="Moderado"),AND(Y317="Baja",AA317="Menor"),AND(Y317="Baja",AA317="Moderado"),AND(Y317="Media",AA317="Leve"),AND(Y317="Media",AA317="Menor"),AND(Y317="Media",AA317="Moderado"),AND(Y317="Alta",AA317="Leve"),AND(Y317="Alta",AA317="Menor")),"Moderado",IF(OR(AND(Y317="Muy Baja",AA317="Mayor"),AND(Y317="Baja",AA317="Mayor"),AND(Y317="Media",AA317="Mayor"),AND(Y317="Alta",AA317="Moderado"),AND(Y317="Alta",AA317="Mayor"),AND(Y317="Muy Alta",AA317="Leve"),AND(Y317="Muy Alta",AA317="Menor"),AND(Y317="Muy Alta",AA317="Moderado"),AND(Y317="Muy Alta",AA317="Mayor")),"Alto",IF(OR(AND(Y317="Muy Baja",AA317="Catastrófico"),AND(Y317="Baja",AA317="Catastrófico"),AND(Y317="Media",AA317="Catastrófico"),AND(Y317="Alta",AA317="Catastrófico"),AND(Y317="Muy Alta",AA317="Catastrófico")),"Extremo","")))),"")</f>
        <v/>
      </c>
      <c r="AD317" s="140"/>
      <c r="AE317" s="132"/>
      <c r="AF317" s="133"/>
      <c r="AG317" s="134"/>
      <c r="AH317" s="134"/>
      <c r="AI317" s="132"/>
      <c r="AJ317" s="133"/>
    </row>
    <row r="318" spans="1:36" hidden="1" x14ac:dyDescent="0.3">
      <c r="A318" s="211"/>
      <c r="B318" s="225"/>
      <c r="C318" s="225"/>
      <c r="D318" s="225"/>
      <c r="E318" s="228"/>
      <c r="F318" s="225"/>
      <c r="G318" s="255"/>
      <c r="H318" s="243"/>
      <c r="I318" s="234"/>
      <c r="J318" s="237"/>
      <c r="K318" s="240">
        <f ca="1">IF(NOT(ISERROR(MATCH(J318,_xlfn.ANCHORARRAY(E328),0))),I330&amp;"Por favor no seleccionar los criterios de impacto",J318)</f>
        <v>0</v>
      </c>
      <c r="L318" s="243"/>
      <c r="M318" s="234"/>
      <c r="N318" s="231"/>
      <c r="O318" s="138">
        <v>6</v>
      </c>
      <c r="P318" s="123"/>
      <c r="Q318" s="124" t="str">
        <f t="shared" si="253"/>
        <v/>
      </c>
      <c r="R318" s="155"/>
      <c r="S318" s="155"/>
      <c r="T318" s="156" t="str">
        <f t="shared" si="250"/>
        <v/>
      </c>
      <c r="U318" s="155"/>
      <c r="V318" s="155"/>
      <c r="W318" s="155"/>
      <c r="X318" s="139" t="str">
        <f t="shared" si="254"/>
        <v/>
      </c>
      <c r="Y318" s="157" t="str">
        <f t="shared" si="236"/>
        <v/>
      </c>
      <c r="Z318" s="141" t="str">
        <f t="shared" si="251"/>
        <v/>
      </c>
      <c r="AA318" s="157" t="str">
        <f t="shared" si="238"/>
        <v/>
      </c>
      <c r="AB318" s="143" t="str">
        <f t="shared" si="255"/>
        <v/>
      </c>
      <c r="AC318" s="158" t="str">
        <f t="shared" si="256"/>
        <v/>
      </c>
      <c r="AD318" s="140"/>
      <c r="AE318" s="132"/>
      <c r="AF318" s="133"/>
      <c r="AG318" s="134"/>
      <c r="AH318" s="134"/>
      <c r="AI318" s="132"/>
      <c r="AJ318" s="133"/>
    </row>
  </sheetData>
  <sheetProtection password="C22C" sheet="1" objects="1" scenarios="1" selectLockedCells="1" selectUnlockedCells="1"/>
  <dataConsolidate/>
  <mergeCells count="1525">
    <mergeCell ref="J313:J318"/>
    <mergeCell ref="K313:K318"/>
    <mergeCell ref="L313:L318"/>
    <mergeCell ref="M313:M318"/>
    <mergeCell ref="N313:N318"/>
    <mergeCell ref="A313:A318"/>
    <mergeCell ref="B313:B318"/>
    <mergeCell ref="C313:C318"/>
    <mergeCell ref="D313:D318"/>
    <mergeCell ref="E313:E318"/>
    <mergeCell ref="F313:F318"/>
    <mergeCell ref="G313:G318"/>
    <mergeCell ref="H313:H318"/>
    <mergeCell ref="I313:I318"/>
    <mergeCell ref="AC307:AC308"/>
    <mergeCell ref="AD307:AD308"/>
    <mergeCell ref="AE307:AE308"/>
    <mergeCell ref="A307:A312"/>
    <mergeCell ref="B307:B312"/>
    <mergeCell ref="C307:C312"/>
    <mergeCell ref="D307:D312"/>
    <mergeCell ref="E307:E312"/>
    <mergeCell ref="F307:F312"/>
    <mergeCell ref="G307:G312"/>
    <mergeCell ref="H307:H312"/>
    <mergeCell ref="I307:I312"/>
    <mergeCell ref="J307:J312"/>
    <mergeCell ref="K307:K312"/>
    <mergeCell ref="L307:L312"/>
    <mergeCell ref="M307:M312"/>
    <mergeCell ref="N307:N312"/>
    <mergeCell ref="O307:O308"/>
    <mergeCell ref="AF307:AF308"/>
    <mergeCell ref="AG307:AG308"/>
    <mergeCell ref="AH307:AH308"/>
    <mergeCell ref="AI307:AI308"/>
    <mergeCell ref="AJ307:AJ308"/>
    <mergeCell ref="S307:S308"/>
    <mergeCell ref="T307:T308"/>
    <mergeCell ref="U307:U308"/>
    <mergeCell ref="V307:V308"/>
    <mergeCell ref="W307:W308"/>
    <mergeCell ref="Y307:Y308"/>
    <mergeCell ref="Z307:Z308"/>
    <mergeCell ref="AA307:AA308"/>
    <mergeCell ref="AB307:AB308"/>
    <mergeCell ref="AE301:AE302"/>
    <mergeCell ref="AF301:AF302"/>
    <mergeCell ref="AG301:AG302"/>
    <mergeCell ref="AH301:AH302"/>
    <mergeCell ref="AI301:AI302"/>
    <mergeCell ref="AJ301:AJ302"/>
    <mergeCell ref="P307:P308"/>
    <mergeCell ref="Q307:Q308"/>
    <mergeCell ref="R307:R308"/>
    <mergeCell ref="U301:U302"/>
    <mergeCell ref="V301:V302"/>
    <mergeCell ref="W301:W302"/>
    <mergeCell ref="Y301:Y302"/>
    <mergeCell ref="Z301:Z302"/>
    <mergeCell ref="AA301:AA302"/>
    <mergeCell ref="AB301:AB302"/>
    <mergeCell ref="AC301:AC302"/>
    <mergeCell ref="AD301:AD302"/>
    <mergeCell ref="AG299:AG300"/>
    <mergeCell ref="AH299:AH300"/>
    <mergeCell ref="AI299:AI300"/>
    <mergeCell ref="AJ299:AJ300"/>
    <mergeCell ref="A301:A306"/>
    <mergeCell ref="B301:B306"/>
    <mergeCell ref="C301:C306"/>
    <mergeCell ref="D301:D306"/>
    <mergeCell ref="E301:E306"/>
    <mergeCell ref="F301:F306"/>
    <mergeCell ref="G301:G306"/>
    <mergeCell ref="H301:H306"/>
    <mergeCell ref="I301:I306"/>
    <mergeCell ref="J301:J306"/>
    <mergeCell ref="K301:K306"/>
    <mergeCell ref="L301:L306"/>
    <mergeCell ref="M301:M306"/>
    <mergeCell ref="N301:N306"/>
    <mergeCell ref="O301:O302"/>
    <mergeCell ref="P301:P302"/>
    <mergeCell ref="Q301:Q302"/>
    <mergeCell ref="R301:R302"/>
    <mergeCell ref="S301:S302"/>
    <mergeCell ref="T301:T302"/>
    <mergeCell ref="X299:X300"/>
    <mergeCell ref="Y299:Y300"/>
    <mergeCell ref="Z299:Z300"/>
    <mergeCell ref="AA299:AA300"/>
    <mergeCell ref="AB299:AB300"/>
    <mergeCell ref="AC299:AC300"/>
    <mergeCell ref="AD299:AD300"/>
    <mergeCell ref="AE299:AE300"/>
    <mergeCell ref="AF299:AF300"/>
    <mergeCell ref="J299:J300"/>
    <mergeCell ref="K299:K300"/>
    <mergeCell ref="L299:L300"/>
    <mergeCell ref="M299:M300"/>
    <mergeCell ref="N299:N300"/>
    <mergeCell ref="O299:O300"/>
    <mergeCell ref="P299:P300"/>
    <mergeCell ref="Q299:Q300"/>
    <mergeCell ref="R299:W299"/>
    <mergeCell ref="A299:A300"/>
    <mergeCell ref="B299:B300"/>
    <mergeCell ref="C299:C300"/>
    <mergeCell ref="D299:D300"/>
    <mergeCell ref="E299:E300"/>
    <mergeCell ref="F299:F300"/>
    <mergeCell ref="G299:G300"/>
    <mergeCell ref="H299:H300"/>
    <mergeCell ref="I299:I300"/>
    <mergeCell ref="A296:B296"/>
    <mergeCell ref="C296:N296"/>
    <mergeCell ref="A297:B297"/>
    <mergeCell ref="C297:N297"/>
    <mergeCell ref="A298:G298"/>
    <mergeCell ref="H298:N298"/>
    <mergeCell ref="O298:W298"/>
    <mergeCell ref="X298:AD298"/>
    <mergeCell ref="AE298:AJ298"/>
    <mergeCell ref="AE287:AE288"/>
    <mergeCell ref="AF287:AF288"/>
    <mergeCell ref="AG287:AG288"/>
    <mergeCell ref="AH287:AH288"/>
    <mergeCell ref="AI287:AI288"/>
    <mergeCell ref="AJ287:AJ288"/>
    <mergeCell ref="A293:AJ294"/>
    <mergeCell ref="A295:B295"/>
    <mergeCell ref="C295:N295"/>
    <mergeCell ref="O295:Q295"/>
    <mergeCell ref="U287:U288"/>
    <mergeCell ref="V287:V288"/>
    <mergeCell ref="W287:W288"/>
    <mergeCell ref="Y287:Y288"/>
    <mergeCell ref="Z287:Z288"/>
    <mergeCell ref="AA287:AA288"/>
    <mergeCell ref="AB287:AB288"/>
    <mergeCell ref="AC287:AC288"/>
    <mergeCell ref="AD287:AD288"/>
    <mergeCell ref="AG285:AG286"/>
    <mergeCell ref="AH285:AH286"/>
    <mergeCell ref="AI285:AI286"/>
    <mergeCell ref="AJ285:AJ286"/>
    <mergeCell ref="A287:A292"/>
    <mergeCell ref="B287:B292"/>
    <mergeCell ref="C287:C292"/>
    <mergeCell ref="D287:D292"/>
    <mergeCell ref="E287:E292"/>
    <mergeCell ref="F287:F292"/>
    <mergeCell ref="G287:G292"/>
    <mergeCell ref="H287:H292"/>
    <mergeCell ref="I287:I292"/>
    <mergeCell ref="J287:J292"/>
    <mergeCell ref="K287:K292"/>
    <mergeCell ref="L287:L292"/>
    <mergeCell ref="M287:M292"/>
    <mergeCell ref="N287:N292"/>
    <mergeCell ref="O287:O288"/>
    <mergeCell ref="P287:P288"/>
    <mergeCell ref="Q287:Q288"/>
    <mergeCell ref="R287:R288"/>
    <mergeCell ref="S287:S288"/>
    <mergeCell ref="T287:T288"/>
    <mergeCell ref="X285:X286"/>
    <mergeCell ref="Y285:Y286"/>
    <mergeCell ref="Z285:Z286"/>
    <mergeCell ref="AA285:AA286"/>
    <mergeCell ref="AB285:AB286"/>
    <mergeCell ref="AC285:AC286"/>
    <mergeCell ref="AD285:AD286"/>
    <mergeCell ref="AE285:AE286"/>
    <mergeCell ref="AF285:AF286"/>
    <mergeCell ref="J285:J286"/>
    <mergeCell ref="K285:K286"/>
    <mergeCell ref="L285:L286"/>
    <mergeCell ref="M285:M286"/>
    <mergeCell ref="N285:N286"/>
    <mergeCell ref="O285:O286"/>
    <mergeCell ref="P285:P286"/>
    <mergeCell ref="Q285:Q286"/>
    <mergeCell ref="R285:W285"/>
    <mergeCell ref="A285:A286"/>
    <mergeCell ref="B285:B286"/>
    <mergeCell ref="C285:C286"/>
    <mergeCell ref="D285:D286"/>
    <mergeCell ref="E285:E286"/>
    <mergeCell ref="F285:F286"/>
    <mergeCell ref="G285:G286"/>
    <mergeCell ref="H285:H286"/>
    <mergeCell ref="I285:I286"/>
    <mergeCell ref="A282:B282"/>
    <mergeCell ref="C282:N282"/>
    <mergeCell ref="A283:B283"/>
    <mergeCell ref="C283:N283"/>
    <mergeCell ref="A284:G284"/>
    <mergeCell ref="H284:N284"/>
    <mergeCell ref="O284:W284"/>
    <mergeCell ref="X284:AD284"/>
    <mergeCell ref="AE284:AJ284"/>
    <mergeCell ref="AE276:AE277"/>
    <mergeCell ref="AF276:AF277"/>
    <mergeCell ref="AG276:AG277"/>
    <mergeCell ref="AH276:AH277"/>
    <mergeCell ref="AI276:AI277"/>
    <mergeCell ref="AJ276:AJ277"/>
    <mergeCell ref="A279:AJ280"/>
    <mergeCell ref="A281:B281"/>
    <mergeCell ref="C281:N281"/>
    <mergeCell ref="O281:Q281"/>
    <mergeCell ref="U276:U277"/>
    <mergeCell ref="V276:V277"/>
    <mergeCell ref="W276:W277"/>
    <mergeCell ref="Y276:Y277"/>
    <mergeCell ref="Z276:Z277"/>
    <mergeCell ref="AA276:AA277"/>
    <mergeCell ref="AB276:AB277"/>
    <mergeCell ref="AC276:AC277"/>
    <mergeCell ref="AD276:AD277"/>
    <mergeCell ref="M274:M275"/>
    <mergeCell ref="N274:N275"/>
    <mergeCell ref="R274:W274"/>
    <mergeCell ref="X274:X275"/>
    <mergeCell ref="A276:A277"/>
    <mergeCell ref="B276:B277"/>
    <mergeCell ref="C276:C277"/>
    <mergeCell ref="D276:D277"/>
    <mergeCell ref="E276:E277"/>
    <mergeCell ref="F276:F277"/>
    <mergeCell ref="G276:G277"/>
    <mergeCell ref="H276:H277"/>
    <mergeCell ref="I276:I277"/>
    <mergeCell ref="J276:J277"/>
    <mergeCell ref="K276:K277"/>
    <mergeCell ref="L276:L277"/>
    <mergeCell ref="M276:M277"/>
    <mergeCell ref="N276:N277"/>
    <mergeCell ref="O276:O277"/>
    <mergeCell ref="P276:P277"/>
    <mergeCell ref="Q276:Q277"/>
    <mergeCell ref="R276:R277"/>
    <mergeCell ref="S276:S277"/>
    <mergeCell ref="T276:T277"/>
    <mergeCell ref="A268:AJ269"/>
    <mergeCell ref="A270:B270"/>
    <mergeCell ref="C270:N270"/>
    <mergeCell ref="O270:Q270"/>
    <mergeCell ref="A271:B271"/>
    <mergeCell ref="C271:N271"/>
    <mergeCell ref="A272:B272"/>
    <mergeCell ref="C272:N272"/>
    <mergeCell ref="A273:G273"/>
    <mergeCell ref="H273:N273"/>
    <mergeCell ref="O273:W273"/>
    <mergeCell ref="X273:AD273"/>
    <mergeCell ref="AE273:AJ273"/>
    <mergeCell ref="AJ274:AJ275"/>
    <mergeCell ref="A274:A275"/>
    <mergeCell ref="B274:B275"/>
    <mergeCell ref="C274:C275"/>
    <mergeCell ref="D274:D275"/>
    <mergeCell ref="E274:E275"/>
    <mergeCell ref="F274:F275"/>
    <mergeCell ref="G274:G275"/>
    <mergeCell ref="H274:H275"/>
    <mergeCell ref="I274:I275"/>
    <mergeCell ref="J274:J275"/>
    <mergeCell ref="K274:K275"/>
    <mergeCell ref="L274:L275"/>
    <mergeCell ref="O274:O275"/>
    <mergeCell ref="P274:P275"/>
    <mergeCell ref="Q274:Q275"/>
    <mergeCell ref="Y274:Y275"/>
    <mergeCell ref="Z274:Z275"/>
    <mergeCell ref="AA274:AA275"/>
    <mergeCell ref="AB274:AB275"/>
    <mergeCell ref="AC274:AC275"/>
    <mergeCell ref="AD274:AD275"/>
    <mergeCell ref="AE274:AE275"/>
    <mergeCell ref="AF274:AF275"/>
    <mergeCell ref="AG274:AG275"/>
    <mergeCell ref="AH274:AH275"/>
    <mergeCell ref="AI274:AI275"/>
    <mergeCell ref="AB256:AB257"/>
    <mergeCell ref="AC256:AC257"/>
    <mergeCell ref="AD256:AD257"/>
    <mergeCell ref="A262:A267"/>
    <mergeCell ref="B262:B267"/>
    <mergeCell ref="C262:C267"/>
    <mergeCell ref="D262:D267"/>
    <mergeCell ref="E262:E267"/>
    <mergeCell ref="F262:F267"/>
    <mergeCell ref="G262:G267"/>
    <mergeCell ref="H262:H267"/>
    <mergeCell ref="I262:I267"/>
    <mergeCell ref="J262:J267"/>
    <mergeCell ref="K262:K267"/>
    <mergeCell ref="L262:L267"/>
    <mergeCell ref="M262:M267"/>
    <mergeCell ref="N262:N267"/>
    <mergeCell ref="R256:R257"/>
    <mergeCell ref="S256:S257"/>
    <mergeCell ref="T256:T257"/>
    <mergeCell ref="U256:U257"/>
    <mergeCell ref="V256:V257"/>
    <mergeCell ref="W256:W257"/>
    <mergeCell ref="Y256:Y257"/>
    <mergeCell ref="Z256:Z257"/>
    <mergeCell ref="AA256:AA257"/>
    <mergeCell ref="V250:V251"/>
    <mergeCell ref="W250:W251"/>
    <mergeCell ref="Y250:Y251"/>
    <mergeCell ref="Z250:Z251"/>
    <mergeCell ref="AA250:AA251"/>
    <mergeCell ref="AB250:AB251"/>
    <mergeCell ref="AC250:AC251"/>
    <mergeCell ref="AD250:AD251"/>
    <mergeCell ref="A256:A261"/>
    <mergeCell ref="B256:B261"/>
    <mergeCell ref="C256:C261"/>
    <mergeCell ref="D256:D261"/>
    <mergeCell ref="E256:E261"/>
    <mergeCell ref="F256:F261"/>
    <mergeCell ref="G256:G261"/>
    <mergeCell ref="H256:H261"/>
    <mergeCell ref="I256:I261"/>
    <mergeCell ref="J256:J261"/>
    <mergeCell ref="K256:K261"/>
    <mergeCell ref="L256:L261"/>
    <mergeCell ref="M256:M261"/>
    <mergeCell ref="N256:N261"/>
    <mergeCell ref="P256:P257"/>
    <mergeCell ref="Q256:Q257"/>
    <mergeCell ref="AG244:AG245"/>
    <mergeCell ref="AH244:AH245"/>
    <mergeCell ref="AI244:AI245"/>
    <mergeCell ref="AJ244:AJ245"/>
    <mergeCell ref="A250:A255"/>
    <mergeCell ref="B250:B255"/>
    <mergeCell ref="C250:C255"/>
    <mergeCell ref="D250:D255"/>
    <mergeCell ref="E250:E255"/>
    <mergeCell ref="F250:F255"/>
    <mergeCell ref="G250:G255"/>
    <mergeCell ref="H250:H255"/>
    <mergeCell ref="I250:I255"/>
    <mergeCell ref="J250:J255"/>
    <mergeCell ref="K250:K255"/>
    <mergeCell ref="L250:L255"/>
    <mergeCell ref="M250:M255"/>
    <mergeCell ref="N250:N255"/>
    <mergeCell ref="P250:P251"/>
    <mergeCell ref="Q250:Q251"/>
    <mergeCell ref="R250:R251"/>
    <mergeCell ref="S250:S251"/>
    <mergeCell ref="T250:T251"/>
    <mergeCell ref="U250:U251"/>
    <mergeCell ref="W244:W245"/>
    <mergeCell ref="Y244:Y245"/>
    <mergeCell ref="Z244:Z245"/>
    <mergeCell ref="AA244:AA245"/>
    <mergeCell ref="AB244:AB245"/>
    <mergeCell ref="AC244:AC245"/>
    <mergeCell ref="AD244:AD245"/>
    <mergeCell ref="AE244:AE245"/>
    <mergeCell ref="AF244:AF245"/>
    <mergeCell ref="AH238:AH239"/>
    <mergeCell ref="AI238:AI239"/>
    <mergeCell ref="AJ238:AJ239"/>
    <mergeCell ref="A244:A249"/>
    <mergeCell ref="B244:B249"/>
    <mergeCell ref="C244:C249"/>
    <mergeCell ref="D244:D249"/>
    <mergeCell ref="E244:E249"/>
    <mergeCell ref="F244:F249"/>
    <mergeCell ref="G244:G249"/>
    <mergeCell ref="H244:H249"/>
    <mergeCell ref="I244:I249"/>
    <mergeCell ref="J244:J249"/>
    <mergeCell ref="K244:K249"/>
    <mergeCell ref="L244:L249"/>
    <mergeCell ref="M244:M249"/>
    <mergeCell ref="N244:N249"/>
    <mergeCell ref="P244:P245"/>
    <mergeCell ref="Q244:Q245"/>
    <mergeCell ref="R244:R245"/>
    <mergeCell ref="S244:S245"/>
    <mergeCell ref="T244:T245"/>
    <mergeCell ref="U244:U245"/>
    <mergeCell ref="V244:V245"/>
    <mergeCell ref="Y238:Y239"/>
    <mergeCell ref="Z238:Z239"/>
    <mergeCell ref="AA238:AA239"/>
    <mergeCell ref="AB238:AB239"/>
    <mergeCell ref="AC238:AC239"/>
    <mergeCell ref="AD238:AD239"/>
    <mergeCell ref="AE238:AE239"/>
    <mergeCell ref="AF238:AF239"/>
    <mergeCell ref="AG238:AG239"/>
    <mergeCell ref="AI236:AI237"/>
    <mergeCell ref="AJ236:AJ237"/>
    <mergeCell ref="A238:A243"/>
    <mergeCell ref="B238:B243"/>
    <mergeCell ref="C238:C243"/>
    <mergeCell ref="D238:D243"/>
    <mergeCell ref="E238:E243"/>
    <mergeCell ref="F238:F243"/>
    <mergeCell ref="G238:G243"/>
    <mergeCell ref="H238:H243"/>
    <mergeCell ref="I238:I243"/>
    <mergeCell ref="J238:J243"/>
    <mergeCell ref="K238:K243"/>
    <mergeCell ref="L238:L243"/>
    <mergeCell ref="M238:M243"/>
    <mergeCell ref="N238:N243"/>
    <mergeCell ref="P238:P239"/>
    <mergeCell ref="Q238:Q239"/>
    <mergeCell ref="R238:R239"/>
    <mergeCell ref="S238:S239"/>
    <mergeCell ref="T238:T239"/>
    <mergeCell ref="U238:U239"/>
    <mergeCell ref="V238:V239"/>
    <mergeCell ref="W238:W239"/>
    <mergeCell ref="Z236:Z237"/>
    <mergeCell ref="AA236:AA237"/>
    <mergeCell ref="AB236:AB237"/>
    <mergeCell ref="AC236:AC237"/>
    <mergeCell ref="AD236:AD237"/>
    <mergeCell ref="AE236:AE237"/>
    <mergeCell ref="AF236:AF237"/>
    <mergeCell ref="AG236:AG237"/>
    <mergeCell ref="AH236:AH237"/>
    <mergeCell ref="L236:L237"/>
    <mergeCell ref="M236:M237"/>
    <mergeCell ref="N236:N237"/>
    <mergeCell ref="O236:O237"/>
    <mergeCell ref="P236:P237"/>
    <mergeCell ref="Q236:Q237"/>
    <mergeCell ref="R236:W236"/>
    <mergeCell ref="X236:X237"/>
    <mergeCell ref="Y236:Y237"/>
    <mergeCell ref="A230:AJ231"/>
    <mergeCell ref="A232:B232"/>
    <mergeCell ref="C232:N232"/>
    <mergeCell ref="O232:Q232"/>
    <mergeCell ref="A233:B233"/>
    <mergeCell ref="C233:N233"/>
    <mergeCell ref="A234:B234"/>
    <mergeCell ref="C234:N234"/>
    <mergeCell ref="A235:G235"/>
    <mergeCell ref="H235:N235"/>
    <mergeCell ref="O235:W235"/>
    <mergeCell ref="X235:AD235"/>
    <mergeCell ref="AE235:AJ235"/>
    <mergeCell ref="A236:A237"/>
    <mergeCell ref="B236:B237"/>
    <mergeCell ref="C236:C237"/>
    <mergeCell ref="D236:D237"/>
    <mergeCell ref="E236:E237"/>
    <mergeCell ref="F236:F237"/>
    <mergeCell ref="G236:G237"/>
    <mergeCell ref="H236:H237"/>
    <mergeCell ref="I236:I237"/>
    <mergeCell ref="J236:J237"/>
    <mergeCell ref="K236:K237"/>
    <mergeCell ref="J218:J223"/>
    <mergeCell ref="K218:K223"/>
    <mergeCell ref="L218:L223"/>
    <mergeCell ref="M218:M223"/>
    <mergeCell ref="N218:N223"/>
    <mergeCell ref="A224:A229"/>
    <mergeCell ref="B224:B229"/>
    <mergeCell ref="C224:C229"/>
    <mergeCell ref="D224:D229"/>
    <mergeCell ref="E224:E229"/>
    <mergeCell ref="F224:F229"/>
    <mergeCell ref="G224:G229"/>
    <mergeCell ref="H224:H229"/>
    <mergeCell ref="I224:I229"/>
    <mergeCell ref="J224:J229"/>
    <mergeCell ref="K224:K229"/>
    <mergeCell ref="L224:L229"/>
    <mergeCell ref="M224:M229"/>
    <mergeCell ref="N224:N229"/>
    <mergeCell ref="A218:A223"/>
    <mergeCell ref="B218:B223"/>
    <mergeCell ref="C218:C223"/>
    <mergeCell ref="D218:D223"/>
    <mergeCell ref="E218:E223"/>
    <mergeCell ref="F218:F223"/>
    <mergeCell ref="G218:G223"/>
    <mergeCell ref="H218:H223"/>
    <mergeCell ref="I218:I223"/>
    <mergeCell ref="V212:V213"/>
    <mergeCell ref="W212:W213"/>
    <mergeCell ref="X212:X213"/>
    <mergeCell ref="Y212:Y213"/>
    <mergeCell ref="Z212:Z213"/>
    <mergeCell ref="AA212:AA213"/>
    <mergeCell ref="AB212:AB213"/>
    <mergeCell ref="AC212:AC213"/>
    <mergeCell ref="AD212:AD213"/>
    <mergeCell ref="AG206:AG207"/>
    <mergeCell ref="AH206:AH207"/>
    <mergeCell ref="AI206:AI207"/>
    <mergeCell ref="AJ206:AJ207"/>
    <mergeCell ref="A212:A217"/>
    <mergeCell ref="B212:B217"/>
    <mergeCell ref="C212:C217"/>
    <mergeCell ref="D212:D217"/>
    <mergeCell ref="E212:E217"/>
    <mergeCell ref="F212:F217"/>
    <mergeCell ref="G212:G217"/>
    <mergeCell ref="H212:H217"/>
    <mergeCell ref="I212:I217"/>
    <mergeCell ref="J212:J217"/>
    <mergeCell ref="K212:K217"/>
    <mergeCell ref="L212:L217"/>
    <mergeCell ref="M212:M217"/>
    <mergeCell ref="N212:N217"/>
    <mergeCell ref="P212:P213"/>
    <mergeCell ref="Q212:Q213"/>
    <mergeCell ref="R212:R213"/>
    <mergeCell ref="S212:S213"/>
    <mergeCell ref="T212:T213"/>
    <mergeCell ref="U212:U213"/>
    <mergeCell ref="AC200:AC201"/>
    <mergeCell ref="AD200:AD201"/>
    <mergeCell ref="AE200:AE201"/>
    <mergeCell ref="AF200:AF201"/>
    <mergeCell ref="AG200:AG201"/>
    <mergeCell ref="AH200:AH201"/>
    <mergeCell ref="AI200:AI201"/>
    <mergeCell ref="AJ200:AJ201"/>
    <mergeCell ref="A206:A211"/>
    <mergeCell ref="B206:B211"/>
    <mergeCell ref="C206:C211"/>
    <mergeCell ref="D206:D211"/>
    <mergeCell ref="E206:E211"/>
    <mergeCell ref="F206:F211"/>
    <mergeCell ref="G206:G211"/>
    <mergeCell ref="H206:H211"/>
    <mergeCell ref="I206:I211"/>
    <mergeCell ref="J206:J211"/>
    <mergeCell ref="K206:K211"/>
    <mergeCell ref="L206:L211"/>
    <mergeCell ref="M206:M211"/>
    <mergeCell ref="N206:N211"/>
    <mergeCell ref="AE206:AE207"/>
    <mergeCell ref="AF206:AF207"/>
    <mergeCell ref="T200:T201"/>
    <mergeCell ref="U200:U201"/>
    <mergeCell ref="V200:V201"/>
    <mergeCell ref="W200:W201"/>
    <mergeCell ref="X200:X201"/>
    <mergeCell ref="Y200:Y201"/>
    <mergeCell ref="Z200:Z201"/>
    <mergeCell ref="AA200:AA201"/>
    <mergeCell ref="AB200:AB201"/>
    <mergeCell ref="J200:J205"/>
    <mergeCell ref="K200:K205"/>
    <mergeCell ref="L200:L205"/>
    <mergeCell ref="M200:M205"/>
    <mergeCell ref="N200:N205"/>
    <mergeCell ref="P200:P201"/>
    <mergeCell ref="Q200:Q201"/>
    <mergeCell ref="R200:R201"/>
    <mergeCell ref="S200:S201"/>
    <mergeCell ref="A200:A205"/>
    <mergeCell ref="B200:B205"/>
    <mergeCell ref="C200:C205"/>
    <mergeCell ref="D200:D205"/>
    <mergeCell ref="E200:E205"/>
    <mergeCell ref="F200:F205"/>
    <mergeCell ref="G200:G205"/>
    <mergeCell ref="H200:H205"/>
    <mergeCell ref="I200:I205"/>
    <mergeCell ref="AI198:AI199"/>
    <mergeCell ref="AJ198:AJ199"/>
    <mergeCell ref="X197:AD197"/>
    <mergeCell ref="AE197:AJ197"/>
    <mergeCell ref="A198:A199"/>
    <mergeCell ref="B198:B199"/>
    <mergeCell ref="C198:C199"/>
    <mergeCell ref="D198:D199"/>
    <mergeCell ref="E198:E199"/>
    <mergeCell ref="F198:F199"/>
    <mergeCell ref="G198:G199"/>
    <mergeCell ref="H198:H199"/>
    <mergeCell ref="I198:I199"/>
    <mergeCell ref="J198:J199"/>
    <mergeCell ref="K198:K199"/>
    <mergeCell ref="L198:L199"/>
    <mergeCell ref="M198:M199"/>
    <mergeCell ref="N198:N199"/>
    <mergeCell ref="O198:O199"/>
    <mergeCell ref="P198:P199"/>
    <mergeCell ref="Q198:Q199"/>
    <mergeCell ref="R198:W198"/>
    <mergeCell ref="X198:X199"/>
    <mergeCell ref="Y198:Y199"/>
    <mergeCell ref="Z198:Z199"/>
    <mergeCell ref="AA198:AA199"/>
    <mergeCell ref="A194:B194"/>
    <mergeCell ref="C194:N194"/>
    <mergeCell ref="O194:Q194"/>
    <mergeCell ref="A195:B195"/>
    <mergeCell ref="C195:N195"/>
    <mergeCell ref="A196:B196"/>
    <mergeCell ref="C196:N196"/>
    <mergeCell ref="A197:G197"/>
    <mergeCell ref="H197:N197"/>
    <mergeCell ref="O197:W197"/>
    <mergeCell ref="AC185:AC186"/>
    <mergeCell ref="AD185:AD186"/>
    <mergeCell ref="AE185:AE186"/>
    <mergeCell ref="AF185:AF186"/>
    <mergeCell ref="AG185:AG186"/>
    <mergeCell ref="AH185:AH186"/>
    <mergeCell ref="AB198:AB199"/>
    <mergeCell ref="AC198:AC199"/>
    <mergeCell ref="AD198:AD199"/>
    <mergeCell ref="AE198:AE199"/>
    <mergeCell ref="AF198:AF199"/>
    <mergeCell ref="AG198:AG199"/>
    <mergeCell ref="AH198:AH199"/>
    <mergeCell ref="AI185:AI186"/>
    <mergeCell ref="AJ185:AJ186"/>
    <mergeCell ref="A192:AJ193"/>
    <mergeCell ref="S185:S186"/>
    <mergeCell ref="T185:T186"/>
    <mergeCell ref="U185:U186"/>
    <mergeCell ref="V185:V186"/>
    <mergeCell ref="W185:W186"/>
    <mergeCell ref="Y185:Y186"/>
    <mergeCell ref="Z185:Z186"/>
    <mergeCell ref="AA185:AA186"/>
    <mergeCell ref="AB185:AB186"/>
    <mergeCell ref="J185:J190"/>
    <mergeCell ref="K185:K190"/>
    <mergeCell ref="L185:L190"/>
    <mergeCell ref="M185:M190"/>
    <mergeCell ref="N185:N190"/>
    <mergeCell ref="O185:O186"/>
    <mergeCell ref="P185:P186"/>
    <mergeCell ref="Q185:Q186"/>
    <mergeCell ref="R185:R186"/>
    <mergeCell ref="A185:A190"/>
    <mergeCell ref="B185:B190"/>
    <mergeCell ref="C185:C190"/>
    <mergeCell ref="D185:D190"/>
    <mergeCell ref="E185:E190"/>
    <mergeCell ref="F185:F190"/>
    <mergeCell ref="G185:G190"/>
    <mergeCell ref="H185:H190"/>
    <mergeCell ref="I185:I190"/>
    <mergeCell ref="AI183:AI184"/>
    <mergeCell ref="AJ183:AJ184"/>
    <mergeCell ref="X182:AD182"/>
    <mergeCell ref="AE182:AJ182"/>
    <mergeCell ref="A183:A184"/>
    <mergeCell ref="B183:B184"/>
    <mergeCell ref="C183:C184"/>
    <mergeCell ref="D183:D184"/>
    <mergeCell ref="E183:E184"/>
    <mergeCell ref="F183:F184"/>
    <mergeCell ref="G183:G184"/>
    <mergeCell ref="H183:H184"/>
    <mergeCell ref="I183:I184"/>
    <mergeCell ref="J183:J184"/>
    <mergeCell ref="K183:K184"/>
    <mergeCell ref="L183:L184"/>
    <mergeCell ref="M183:M184"/>
    <mergeCell ref="N183:N184"/>
    <mergeCell ref="O183:O184"/>
    <mergeCell ref="P183:P184"/>
    <mergeCell ref="Q183:Q184"/>
    <mergeCell ref="R183:W183"/>
    <mergeCell ref="X183:X184"/>
    <mergeCell ref="Y183:Y184"/>
    <mergeCell ref="Z183:Z184"/>
    <mergeCell ref="AA183:AA184"/>
    <mergeCell ref="AB183:AB184"/>
    <mergeCell ref="AC183:AC184"/>
    <mergeCell ref="AD183:AD184"/>
    <mergeCell ref="AE183:AE184"/>
    <mergeCell ref="AF183:AF184"/>
    <mergeCell ref="AG183:AG184"/>
    <mergeCell ref="A179:B179"/>
    <mergeCell ref="C179:N179"/>
    <mergeCell ref="O179:Q179"/>
    <mergeCell ref="A180:B180"/>
    <mergeCell ref="C180:N180"/>
    <mergeCell ref="A181:B181"/>
    <mergeCell ref="C181:N181"/>
    <mergeCell ref="A182:G182"/>
    <mergeCell ref="H182:N182"/>
    <mergeCell ref="O182:W182"/>
    <mergeCell ref="AC171:AC172"/>
    <mergeCell ref="AD171:AD172"/>
    <mergeCell ref="AE171:AE172"/>
    <mergeCell ref="AF171:AF172"/>
    <mergeCell ref="AG171:AG172"/>
    <mergeCell ref="AH171:AH172"/>
    <mergeCell ref="O171:O172"/>
    <mergeCell ref="P171:P172"/>
    <mergeCell ref="Q171:Q172"/>
    <mergeCell ref="R171:R172"/>
    <mergeCell ref="N171:N176"/>
    <mergeCell ref="AH183:AH184"/>
    <mergeCell ref="AI171:AI172"/>
    <mergeCell ref="AJ171:AJ172"/>
    <mergeCell ref="A177:AJ178"/>
    <mergeCell ref="S171:S172"/>
    <mergeCell ref="T171:T172"/>
    <mergeCell ref="U171:U172"/>
    <mergeCell ref="V171:V172"/>
    <mergeCell ref="W171:W172"/>
    <mergeCell ref="Y171:Y172"/>
    <mergeCell ref="Z171:Z172"/>
    <mergeCell ref="AA171:AA172"/>
    <mergeCell ref="AB171:AB172"/>
    <mergeCell ref="AE165:AE166"/>
    <mergeCell ref="AF165:AF166"/>
    <mergeCell ref="AG165:AG166"/>
    <mergeCell ref="AH165:AH166"/>
    <mergeCell ref="AI165:AI166"/>
    <mergeCell ref="AJ165:AJ166"/>
    <mergeCell ref="A171:A176"/>
    <mergeCell ref="B171:B176"/>
    <mergeCell ref="C171:C176"/>
    <mergeCell ref="D171:D176"/>
    <mergeCell ref="E171:E176"/>
    <mergeCell ref="F171:F176"/>
    <mergeCell ref="G171:G176"/>
    <mergeCell ref="H171:H176"/>
    <mergeCell ref="I171:I176"/>
    <mergeCell ref="J171:J176"/>
    <mergeCell ref="K171:K176"/>
    <mergeCell ref="L171:L176"/>
    <mergeCell ref="M171:M176"/>
    <mergeCell ref="AG163:AG164"/>
    <mergeCell ref="AH163:AH164"/>
    <mergeCell ref="AI163:AI164"/>
    <mergeCell ref="AJ163:AJ164"/>
    <mergeCell ref="A165:A170"/>
    <mergeCell ref="B165:B170"/>
    <mergeCell ref="C165:C170"/>
    <mergeCell ref="D165:D170"/>
    <mergeCell ref="E165:E170"/>
    <mergeCell ref="F165:F170"/>
    <mergeCell ref="G165:G170"/>
    <mergeCell ref="H165:H170"/>
    <mergeCell ref="I165:I170"/>
    <mergeCell ref="J165:J170"/>
    <mergeCell ref="K165:K170"/>
    <mergeCell ref="L165:L170"/>
    <mergeCell ref="M165:M170"/>
    <mergeCell ref="N165:N170"/>
    <mergeCell ref="O165:O166"/>
    <mergeCell ref="P165:P166"/>
    <mergeCell ref="Q165:Q166"/>
    <mergeCell ref="R165:R166"/>
    <mergeCell ref="S165:S166"/>
    <mergeCell ref="T165:T166"/>
    <mergeCell ref="X163:X164"/>
    <mergeCell ref="Y163:Y164"/>
    <mergeCell ref="Z163:Z164"/>
    <mergeCell ref="AA163:AA164"/>
    <mergeCell ref="AB163:AB164"/>
    <mergeCell ref="AC163:AC164"/>
    <mergeCell ref="AD163:AD164"/>
    <mergeCell ref="AE163:AE164"/>
    <mergeCell ref="AF163:AF164"/>
    <mergeCell ref="J163:J164"/>
    <mergeCell ref="K163:K164"/>
    <mergeCell ref="L163:L164"/>
    <mergeCell ref="M163:M164"/>
    <mergeCell ref="N163:N164"/>
    <mergeCell ref="O163:O164"/>
    <mergeCell ref="P163:P164"/>
    <mergeCell ref="Q163:Q164"/>
    <mergeCell ref="R163:W163"/>
    <mergeCell ref="U165:U166"/>
    <mergeCell ref="V165:V166"/>
    <mergeCell ref="W165:W166"/>
    <mergeCell ref="Y165:Y166"/>
    <mergeCell ref="Z165:Z166"/>
    <mergeCell ref="AA165:AA166"/>
    <mergeCell ref="AB165:AB166"/>
    <mergeCell ref="AC165:AC166"/>
    <mergeCell ref="AD165:AD166"/>
    <mergeCell ref="A163:A164"/>
    <mergeCell ref="B163:B164"/>
    <mergeCell ref="C163:C164"/>
    <mergeCell ref="D163:D164"/>
    <mergeCell ref="E163:E164"/>
    <mergeCell ref="F163:F164"/>
    <mergeCell ref="G163:G164"/>
    <mergeCell ref="H163:H164"/>
    <mergeCell ref="I163:I164"/>
    <mergeCell ref="A160:B160"/>
    <mergeCell ref="C160:N160"/>
    <mergeCell ref="A161:B161"/>
    <mergeCell ref="C161:N161"/>
    <mergeCell ref="A162:G162"/>
    <mergeCell ref="H162:N162"/>
    <mergeCell ref="O162:W162"/>
    <mergeCell ref="X162:AD162"/>
    <mergeCell ref="AE162:AJ162"/>
    <mergeCell ref="AF150:AF151"/>
    <mergeCell ref="AG150:AG151"/>
    <mergeCell ref="AH150:AH151"/>
    <mergeCell ref="AI150:AI151"/>
    <mergeCell ref="AJ150:AJ151"/>
    <mergeCell ref="A157:AJ158"/>
    <mergeCell ref="A159:B159"/>
    <mergeCell ref="C159:N159"/>
    <mergeCell ref="O159:Q159"/>
    <mergeCell ref="V150:V151"/>
    <mergeCell ref="W150:W151"/>
    <mergeCell ref="Y150:Y151"/>
    <mergeCell ref="Z150:Z151"/>
    <mergeCell ref="AA150:AA151"/>
    <mergeCell ref="AB150:AB151"/>
    <mergeCell ref="AC150:AC151"/>
    <mergeCell ref="AD150:AD151"/>
    <mergeCell ref="AE150:AE151"/>
    <mergeCell ref="AH144:AH145"/>
    <mergeCell ref="AI144:AI145"/>
    <mergeCell ref="AJ144:AJ145"/>
    <mergeCell ref="A150:A155"/>
    <mergeCell ref="B150:B155"/>
    <mergeCell ref="C150:C155"/>
    <mergeCell ref="D150:D155"/>
    <mergeCell ref="E150:E155"/>
    <mergeCell ref="F150:F155"/>
    <mergeCell ref="G150:G155"/>
    <mergeCell ref="H150:H155"/>
    <mergeCell ref="I150:I155"/>
    <mergeCell ref="J150:J155"/>
    <mergeCell ref="K150:K155"/>
    <mergeCell ref="L150:L155"/>
    <mergeCell ref="M150:M155"/>
    <mergeCell ref="N150:N155"/>
    <mergeCell ref="O150:O151"/>
    <mergeCell ref="P150:P151"/>
    <mergeCell ref="Q150:Q151"/>
    <mergeCell ref="R150:R151"/>
    <mergeCell ref="S150:S151"/>
    <mergeCell ref="T150:T151"/>
    <mergeCell ref="U150:U151"/>
    <mergeCell ref="Y144:Y145"/>
    <mergeCell ref="Z144:Z145"/>
    <mergeCell ref="AA144:AA145"/>
    <mergeCell ref="AB144:AB145"/>
    <mergeCell ref="AC144:AC145"/>
    <mergeCell ref="AD144:AD145"/>
    <mergeCell ref="AE144:AE145"/>
    <mergeCell ref="AF144:AF145"/>
    <mergeCell ref="AG144:AG145"/>
    <mergeCell ref="AJ142:AJ143"/>
    <mergeCell ref="A144:A149"/>
    <mergeCell ref="B144:B149"/>
    <mergeCell ref="C144:C149"/>
    <mergeCell ref="D144:D149"/>
    <mergeCell ref="E144:E149"/>
    <mergeCell ref="F144:F149"/>
    <mergeCell ref="G144:G149"/>
    <mergeCell ref="H144:H149"/>
    <mergeCell ref="I144:I149"/>
    <mergeCell ref="J144:J149"/>
    <mergeCell ref="K144:K149"/>
    <mergeCell ref="L144:L149"/>
    <mergeCell ref="M144:M149"/>
    <mergeCell ref="N144:N149"/>
    <mergeCell ref="O144:O145"/>
    <mergeCell ref="P144:P145"/>
    <mergeCell ref="Q144:Q145"/>
    <mergeCell ref="R144:R145"/>
    <mergeCell ref="S144:S145"/>
    <mergeCell ref="T144:T145"/>
    <mergeCell ref="U144:U145"/>
    <mergeCell ref="V144:V145"/>
    <mergeCell ref="W144:W145"/>
    <mergeCell ref="AA142:AA143"/>
    <mergeCell ref="AB142:AB143"/>
    <mergeCell ref="AC142:AC143"/>
    <mergeCell ref="AD142:AD143"/>
    <mergeCell ref="AE142:AE143"/>
    <mergeCell ref="AF142:AF143"/>
    <mergeCell ref="AG142:AG143"/>
    <mergeCell ref="AH142:AH143"/>
    <mergeCell ref="AI142:AI143"/>
    <mergeCell ref="O141:W141"/>
    <mergeCell ref="X141:AD141"/>
    <mergeCell ref="AE141:AJ141"/>
    <mergeCell ref="A142:A143"/>
    <mergeCell ref="B142:B143"/>
    <mergeCell ref="C142:C143"/>
    <mergeCell ref="D142:D143"/>
    <mergeCell ref="E142:E143"/>
    <mergeCell ref="F142:F143"/>
    <mergeCell ref="G142:G143"/>
    <mergeCell ref="H142:H143"/>
    <mergeCell ref="I142:I143"/>
    <mergeCell ref="J142:J143"/>
    <mergeCell ref="K142:K143"/>
    <mergeCell ref="L142:L143"/>
    <mergeCell ref="M142:M143"/>
    <mergeCell ref="N142:N143"/>
    <mergeCell ref="O142:O143"/>
    <mergeCell ref="P142:P143"/>
    <mergeCell ref="Q142:Q143"/>
    <mergeCell ref="R142:W142"/>
    <mergeCell ref="X142:X143"/>
    <mergeCell ref="Y142:Y143"/>
    <mergeCell ref="Z142:Z143"/>
    <mergeCell ref="A141:G141"/>
    <mergeCell ref="H141:N141"/>
    <mergeCell ref="O138:Q138"/>
    <mergeCell ref="A139:B139"/>
    <mergeCell ref="C139:N139"/>
    <mergeCell ref="Y128:Y129"/>
    <mergeCell ref="Z128:Z129"/>
    <mergeCell ref="AA128:AA129"/>
    <mergeCell ref="AB128:AB129"/>
    <mergeCell ref="AC128:AC129"/>
    <mergeCell ref="AD128:AD129"/>
    <mergeCell ref="AE128:AE129"/>
    <mergeCell ref="AF128:AF129"/>
    <mergeCell ref="AG128:AG129"/>
    <mergeCell ref="O128:O129"/>
    <mergeCell ref="P128:P129"/>
    <mergeCell ref="Q128:Q129"/>
    <mergeCell ref="R128:R129"/>
    <mergeCell ref="S128:S129"/>
    <mergeCell ref="T128:T129"/>
    <mergeCell ref="U128:U129"/>
    <mergeCell ref="V128:V129"/>
    <mergeCell ref="W128:W129"/>
    <mergeCell ref="J128:J133"/>
    <mergeCell ref="K128:K133"/>
    <mergeCell ref="L128:L133"/>
    <mergeCell ref="M128:M133"/>
    <mergeCell ref="N128:N133"/>
    <mergeCell ref="AG122:AG123"/>
    <mergeCell ref="AH122:AH123"/>
    <mergeCell ref="AI122:AI123"/>
    <mergeCell ref="AJ122:AJ123"/>
    <mergeCell ref="AA120:AA121"/>
    <mergeCell ref="AB120:AB121"/>
    <mergeCell ref="AC120:AC121"/>
    <mergeCell ref="AD120:AD121"/>
    <mergeCell ref="AE120:AE121"/>
    <mergeCell ref="AF120:AF121"/>
    <mergeCell ref="AG120:AG121"/>
    <mergeCell ref="AH120:AH121"/>
    <mergeCell ref="AI120:AI121"/>
    <mergeCell ref="AH128:AH129"/>
    <mergeCell ref="AI128:AI129"/>
    <mergeCell ref="AJ128:AJ129"/>
    <mergeCell ref="A135:AJ136"/>
    <mergeCell ref="O122:O123"/>
    <mergeCell ref="P122:P123"/>
    <mergeCell ref="Q122:Q123"/>
    <mergeCell ref="R122:R123"/>
    <mergeCell ref="S122:S123"/>
    <mergeCell ref="T122:T123"/>
    <mergeCell ref="U122:U123"/>
    <mergeCell ref="V122:V123"/>
    <mergeCell ref="W122:W123"/>
    <mergeCell ref="Y122:Y123"/>
    <mergeCell ref="Z122:Z123"/>
    <mergeCell ref="AA122:AA123"/>
    <mergeCell ref="AB122:AB123"/>
    <mergeCell ref="AC122:AC123"/>
    <mergeCell ref="AD122:AD123"/>
    <mergeCell ref="AE122:AE123"/>
    <mergeCell ref="AF122:AF123"/>
    <mergeCell ref="O119:W119"/>
    <mergeCell ref="X119:AD119"/>
    <mergeCell ref="AE119:AJ119"/>
    <mergeCell ref="A120:A121"/>
    <mergeCell ref="B120:B121"/>
    <mergeCell ref="C120:C121"/>
    <mergeCell ref="D120:D121"/>
    <mergeCell ref="E120:E121"/>
    <mergeCell ref="F120:F121"/>
    <mergeCell ref="G120:G121"/>
    <mergeCell ref="H120:H121"/>
    <mergeCell ref="I120:I121"/>
    <mergeCell ref="J120:J121"/>
    <mergeCell ref="K120:K121"/>
    <mergeCell ref="L120:L121"/>
    <mergeCell ref="M120:M121"/>
    <mergeCell ref="N120:N121"/>
    <mergeCell ref="O120:O121"/>
    <mergeCell ref="P120:P121"/>
    <mergeCell ref="Q120:Q121"/>
    <mergeCell ref="R120:W120"/>
    <mergeCell ref="X120:X121"/>
    <mergeCell ref="Y120:Y121"/>
    <mergeCell ref="Z120:Z121"/>
    <mergeCell ref="AJ120:AJ121"/>
    <mergeCell ref="C122:C127"/>
    <mergeCell ref="D122:D127"/>
    <mergeCell ref="E122:E127"/>
    <mergeCell ref="F122:F127"/>
    <mergeCell ref="G122:G127"/>
    <mergeCell ref="A118:B118"/>
    <mergeCell ref="C118:N118"/>
    <mergeCell ref="AG106:AG109"/>
    <mergeCell ref="AH106:AH109"/>
    <mergeCell ref="AI106:AI109"/>
    <mergeCell ref="AJ106:AJ109"/>
    <mergeCell ref="O110:O113"/>
    <mergeCell ref="P110:P113"/>
    <mergeCell ref="Q110:Q113"/>
    <mergeCell ref="R110:R113"/>
    <mergeCell ref="S110:S113"/>
    <mergeCell ref="T110:T113"/>
    <mergeCell ref="U110:U113"/>
    <mergeCell ref="V110:V113"/>
    <mergeCell ref="W110:W113"/>
    <mergeCell ref="X110:X113"/>
    <mergeCell ref="Y110:Y113"/>
    <mergeCell ref="Z110:Z113"/>
    <mergeCell ref="AA110:AA113"/>
    <mergeCell ref="AB110:AB113"/>
    <mergeCell ref="AC110:AC113"/>
    <mergeCell ref="AD110:AD113"/>
    <mergeCell ref="AE110:AE113"/>
    <mergeCell ref="AF110:AF113"/>
    <mergeCell ref="O106:O109"/>
    <mergeCell ref="P106:P109"/>
    <mergeCell ref="Q106:Q109"/>
    <mergeCell ref="R106:R109"/>
    <mergeCell ref="S106:S109"/>
    <mergeCell ref="T106:T109"/>
    <mergeCell ref="U106:U109"/>
    <mergeCell ref="V106:V109"/>
    <mergeCell ref="W106:W109"/>
    <mergeCell ref="AI110:AI113"/>
    <mergeCell ref="AJ110:AJ113"/>
    <mergeCell ref="A114:AJ115"/>
    <mergeCell ref="A116:B116"/>
    <mergeCell ref="C116:N116"/>
    <mergeCell ref="O116:Q116"/>
    <mergeCell ref="A117:B117"/>
    <mergeCell ref="C117:N117"/>
    <mergeCell ref="E106:E113"/>
    <mergeCell ref="F106:F113"/>
    <mergeCell ref="G106:G113"/>
    <mergeCell ref="H106:H113"/>
    <mergeCell ref="I106:I113"/>
    <mergeCell ref="J106:J113"/>
    <mergeCell ref="K106:K113"/>
    <mergeCell ref="L106:L113"/>
    <mergeCell ref="M106:M113"/>
    <mergeCell ref="N106:N113"/>
    <mergeCell ref="A119:G119"/>
    <mergeCell ref="H119:N119"/>
    <mergeCell ref="A140:B140"/>
    <mergeCell ref="C140:N140"/>
    <mergeCell ref="J122:J127"/>
    <mergeCell ref="K122:K127"/>
    <mergeCell ref="L122:L127"/>
    <mergeCell ref="M122:M127"/>
    <mergeCell ref="N122:N127"/>
    <mergeCell ref="A128:A133"/>
    <mergeCell ref="B128:B133"/>
    <mergeCell ref="C128:C133"/>
    <mergeCell ref="D128:D133"/>
    <mergeCell ref="E128:E133"/>
    <mergeCell ref="F128:F133"/>
    <mergeCell ref="G128:G133"/>
    <mergeCell ref="H128:H133"/>
    <mergeCell ref="I128:I133"/>
    <mergeCell ref="A138:B138"/>
    <mergeCell ref="C138:N138"/>
    <mergeCell ref="A122:A127"/>
    <mergeCell ref="B122:B127"/>
    <mergeCell ref="H122:H127"/>
    <mergeCell ref="I122:I127"/>
    <mergeCell ref="AJ99:AJ101"/>
    <mergeCell ref="AA99:AA101"/>
    <mergeCell ref="AB99:AB101"/>
    <mergeCell ref="AC99:AC101"/>
    <mergeCell ref="AD99:AD101"/>
    <mergeCell ref="AE99:AE101"/>
    <mergeCell ref="AF99:AF101"/>
    <mergeCell ref="AG99:AG101"/>
    <mergeCell ref="AH99:AH101"/>
    <mergeCell ref="AI99:AI101"/>
    <mergeCell ref="R99:R101"/>
    <mergeCell ref="S99:S101"/>
    <mergeCell ref="T99:T101"/>
    <mergeCell ref="U99:U101"/>
    <mergeCell ref="V99:V101"/>
    <mergeCell ref="W99:W101"/>
    <mergeCell ref="X99:X101"/>
    <mergeCell ref="Y99:Y101"/>
    <mergeCell ref="Z99:Z101"/>
    <mergeCell ref="AG110:AG113"/>
    <mergeCell ref="AH110:AH113"/>
    <mergeCell ref="X106:X109"/>
    <mergeCell ref="Y106:Y109"/>
    <mergeCell ref="Z106:Z109"/>
    <mergeCell ref="AA106:AA109"/>
    <mergeCell ref="AB106:AB109"/>
    <mergeCell ref="AC106:AC109"/>
    <mergeCell ref="AD106:AD109"/>
    <mergeCell ref="AE106:AE109"/>
    <mergeCell ref="AF106:AF109"/>
    <mergeCell ref="A106:A113"/>
    <mergeCell ref="B106:B113"/>
    <mergeCell ref="C106:C113"/>
    <mergeCell ref="D106:D113"/>
    <mergeCell ref="AD93:AD94"/>
    <mergeCell ref="AE93:AE94"/>
    <mergeCell ref="AF93:AF94"/>
    <mergeCell ref="AG93:AG94"/>
    <mergeCell ref="AH93:AH94"/>
    <mergeCell ref="AI93:AI94"/>
    <mergeCell ref="AJ93:AJ94"/>
    <mergeCell ref="A99:A105"/>
    <mergeCell ref="B99:B105"/>
    <mergeCell ref="C99:C105"/>
    <mergeCell ref="D99:D105"/>
    <mergeCell ref="E99:E105"/>
    <mergeCell ref="F99:F105"/>
    <mergeCell ref="G99:G105"/>
    <mergeCell ref="H99:H105"/>
    <mergeCell ref="I99:I105"/>
    <mergeCell ref="J99:J105"/>
    <mergeCell ref="K99:K105"/>
    <mergeCell ref="L99:L105"/>
    <mergeCell ref="M99:M105"/>
    <mergeCell ref="N99:N105"/>
    <mergeCell ref="O99:O101"/>
    <mergeCell ref="P99:P101"/>
    <mergeCell ref="Q99:Q101"/>
    <mergeCell ref="U93:U94"/>
    <mergeCell ref="V93:V94"/>
    <mergeCell ref="W93:W94"/>
    <mergeCell ref="X93:X94"/>
    <mergeCell ref="Y93:Y94"/>
    <mergeCell ref="Z93:Z94"/>
    <mergeCell ref="AA93:AA94"/>
    <mergeCell ref="AB93:AB94"/>
    <mergeCell ref="AC93:AC94"/>
    <mergeCell ref="AG91:AG92"/>
    <mergeCell ref="AH91:AH92"/>
    <mergeCell ref="AI91:AI92"/>
    <mergeCell ref="AJ91:AJ92"/>
    <mergeCell ref="A93:A98"/>
    <mergeCell ref="B93:B98"/>
    <mergeCell ref="C93:C98"/>
    <mergeCell ref="D93:D98"/>
    <mergeCell ref="E93:E98"/>
    <mergeCell ref="F93:F98"/>
    <mergeCell ref="G93:G98"/>
    <mergeCell ref="H93:H98"/>
    <mergeCell ref="I93:I98"/>
    <mergeCell ref="J93:J98"/>
    <mergeCell ref="K93:K98"/>
    <mergeCell ref="L93:L98"/>
    <mergeCell ref="M93:M98"/>
    <mergeCell ref="N93:N98"/>
    <mergeCell ref="O93:O94"/>
    <mergeCell ref="P93:P94"/>
    <mergeCell ref="Q93:Q94"/>
    <mergeCell ref="R93:R94"/>
    <mergeCell ref="S93:S94"/>
    <mergeCell ref="T93:T94"/>
    <mergeCell ref="X91:X92"/>
    <mergeCell ref="Y91:Y92"/>
    <mergeCell ref="Z91:Z92"/>
    <mergeCell ref="AA91:AA92"/>
    <mergeCell ref="AB91:AB92"/>
    <mergeCell ref="AC91:AC92"/>
    <mergeCell ref="AD91:AD92"/>
    <mergeCell ref="AE91:AE92"/>
    <mergeCell ref="AF91:AF92"/>
    <mergeCell ref="J91:J92"/>
    <mergeCell ref="K91:K92"/>
    <mergeCell ref="L91:L92"/>
    <mergeCell ref="M91:M92"/>
    <mergeCell ref="N91:N92"/>
    <mergeCell ref="O91:O92"/>
    <mergeCell ref="P91:P92"/>
    <mergeCell ref="Q91:Q92"/>
    <mergeCell ref="R91:W91"/>
    <mergeCell ref="A91:A92"/>
    <mergeCell ref="B91:B92"/>
    <mergeCell ref="C91:C92"/>
    <mergeCell ref="D91:D92"/>
    <mergeCell ref="E91:E92"/>
    <mergeCell ref="F91:F92"/>
    <mergeCell ref="G91:G92"/>
    <mergeCell ref="H91:H92"/>
    <mergeCell ref="I91:I92"/>
    <mergeCell ref="AE90:AJ90"/>
    <mergeCell ref="AD78:AD79"/>
    <mergeCell ref="AE78:AE79"/>
    <mergeCell ref="AF78:AF79"/>
    <mergeCell ref="AG78:AG79"/>
    <mergeCell ref="AH78:AH79"/>
    <mergeCell ref="AI78:AI79"/>
    <mergeCell ref="AJ78:AJ79"/>
    <mergeCell ref="A85:AJ86"/>
    <mergeCell ref="A87:B87"/>
    <mergeCell ref="C87:N87"/>
    <mergeCell ref="O87:Q87"/>
    <mergeCell ref="T78:T79"/>
    <mergeCell ref="U78:U79"/>
    <mergeCell ref="V78:V79"/>
    <mergeCell ref="W78:W79"/>
    <mergeCell ref="Y78:Y79"/>
    <mergeCell ref="Z78:Z79"/>
    <mergeCell ref="AA78:AA79"/>
    <mergeCell ref="AB78:AB79"/>
    <mergeCell ref="AC78:AC79"/>
    <mergeCell ref="R78:R79"/>
    <mergeCell ref="S78:S79"/>
    <mergeCell ref="Q78:Q79"/>
    <mergeCell ref="Y76:Y77"/>
    <mergeCell ref="Z76:Z77"/>
    <mergeCell ref="AA76:AA77"/>
    <mergeCell ref="AB76:AB77"/>
    <mergeCell ref="AC76:AC77"/>
    <mergeCell ref="AD76:AD77"/>
    <mergeCell ref="A88:B88"/>
    <mergeCell ref="C88:N88"/>
    <mergeCell ref="A89:B89"/>
    <mergeCell ref="C89:N89"/>
    <mergeCell ref="A90:G90"/>
    <mergeCell ref="H90:N90"/>
    <mergeCell ref="O90:W90"/>
    <mergeCell ref="X90:AD90"/>
    <mergeCell ref="A78:A83"/>
    <mergeCell ref="B78:B83"/>
    <mergeCell ref="C78:C83"/>
    <mergeCell ref="D78:D83"/>
    <mergeCell ref="E78:E83"/>
    <mergeCell ref="F78:F83"/>
    <mergeCell ref="G78:G83"/>
    <mergeCell ref="H78:H83"/>
    <mergeCell ref="I78:I83"/>
    <mergeCell ref="J78:J83"/>
    <mergeCell ref="K78:K83"/>
    <mergeCell ref="L78:L83"/>
    <mergeCell ref="M78:M83"/>
    <mergeCell ref="N78:N83"/>
    <mergeCell ref="O78:O79"/>
    <mergeCell ref="P78:P79"/>
    <mergeCell ref="AE76:AE77"/>
    <mergeCell ref="A74:B74"/>
    <mergeCell ref="C74:N74"/>
    <mergeCell ref="A75:G75"/>
    <mergeCell ref="H75:N75"/>
    <mergeCell ref="O75:W75"/>
    <mergeCell ref="X75:AD75"/>
    <mergeCell ref="AE75:AJ75"/>
    <mergeCell ref="A76:A77"/>
    <mergeCell ref="B76:B77"/>
    <mergeCell ref="C76:C77"/>
    <mergeCell ref="D76:D77"/>
    <mergeCell ref="E76:E77"/>
    <mergeCell ref="F76:F77"/>
    <mergeCell ref="G76:G77"/>
    <mergeCell ref="H76:H77"/>
    <mergeCell ref="I76:I77"/>
    <mergeCell ref="J76:J77"/>
    <mergeCell ref="K76:K77"/>
    <mergeCell ref="L76:L77"/>
    <mergeCell ref="M76:M77"/>
    <mergeCell ref="N76:N77"/>
    <mergeCell ref="O76:O77"/>
    <mergeCell ref="P76:P77"/>
    <mergeCell ref="Q76:Q77"/>
    <mergeCell ref="AF76:AF77"/>
    <mergeCell ref="AG76:AG77"/>
    <mergeCell ref="AH76:AH77"/>
    <mergeCell ref="AI76:AI77"/>
    <mergeCell ref="AJ76:AJ77"/>
    <mergeCell ref="R76:W76"/>
    <mergeCell ref="X76:X77"/>
    <mergeCell ref="A1:AJ2"/>
    <mergeCell ref="A6:G6"/>
    <mergeCell ref="H6:N6"/>
    <mergeCell ref="O6:W6"/>
    <mergeCell ref="X6:AD6"/>
    <mergeCell ref="AE6:AJ6"/>
    <mergeCell ref="M57:M62"/>
    <mergeCell ref="N57:N62"/>
    <mergeCell ref="M45:M50"/>
    <mergeCell ref="N45:N50"/>
    <mergeCell ref="F51:F56"/>
    <mergeCell ref="G51:G56"/>
    <mergeCell ref="H51:H56"/>
    <mergeCell ref="I51:I56"/>
    <mergeCell ref="J51:J56"/>
    <mergeCell ref="F45:F50"/>
    <mergeCell ref="G45:G50"/>
    <mergeCell ref="H45:H50"/>
    <mergeCell ref="I45:I50"/>
    <mergeCell ref="M33:M38"/>
    <mergeCell ref="N33:N38"/>
    <mergeCell ref="M39:M44"/>
    <mergeCell ref="N39:N44"/>
    <mergeCell ref="J45:J50"/>
    <mergeCell ref="K45:K50"/>
    <mergeCell ref="L45:L50"/>
    <mergeCell ref="A33:A38"/>
    <mergeCell ref="B33:B38"/>
    <mergeCell ref="C33:C38"/>
    <mergeCell ref="A39:A44"/>
    <mergeCell ref="B39:B44"/>
    <mergeCell ref="C39:C44"/>
    <mergeCell ref="N51:N56"/>
    <mergeCell ref="L51:L56"/>
    <mergeCell ref="M51:M56"/>
    <mergeCell ref="B69:AJ69"/>
    <mergeCell ref="A70:AJ71"/>
    <mergeCell ref="A72:B72"/>
    <mergeCell ref="C72:N72"/>
    <mergeCell ref="O72:Q72"/>
    <mergeCell ref="A73:B73"/>
    <mergeCell ref="C73:N73"/>
    <mergeCell ref="H63:H68"/>
    <mergeCell ref="I63:I68"/>
    <mergeCell ref="C3:N3"/>
    <mergeCell ref="O3:Q3"/>
    <mergeCell ref="A51:A56"/>
    <mergeCell ref="B51:B56"/>
    <mergeCell ref="C51:C56"/>
    <mergeCell ref="D51:D56"/>
    <mergeCell ref="E51:E56"/>
    <mergeCell ref="A45:A50"/>
    <mergeCell ref="B45:B50"/>
    <mergeCell ref="C45:C50"/>
    <mergeCell ref="D45:D50"/>
    <mergeCell ref="E45:E50"/>
    <mergeCell ref="K51:K56"/>
    <mergeCell ref="J63:J68"/>
    <mergeCell ref="K63:K68"/>
    <mergeCell ref="L63:L68"/>
    <mergeCell ref="M63:M68"/>
    <mergeCell ref="N63:N68"/>
    <mergeCell ref="J57:J62"/>
    <mergeCell ref="K57:K62"/>
    <mergeCell ref="L57:L62"/>
    <mergeCell ref="A57:A62"/>
    <mergeCell ref="B57:B62"/>
    <mergeCell ref="C57:C62"/>
    <mergeCell ref="D57:D62"/>
    <mergeCell ref="E57:E62"/>
    <mergeCell ref="F57:F62"/>
    <mergeCell ref="G57:G62"/>
    <mergeCell ref="H57:H62"/>
    <mergeCell ref="I57:I62"/>
    <mergeCell ref="A63:A68"/>
    <mergeCell ref="B63:B68"/>
    <mergeCell ref="C63:C68"/>
    <mergeCell ref="D63:D68"/>
    <mergeCell ref="E63:E68"/>
    <mergeCell ref="F63:F68"/>
    <mergeCell ref="G63:G68"/>
    <mergeCell ref="D39:D44"/>
    <mergeCell ref="E39:E44"/>
    <mergeCell ref="F39:F44"/>
    <mergeCell ref="D33:D38"/>
    <mergeCell ref="E33:E38"/>
    <mergeCell ref="J39:J44"/>
    <mergeCell ref="K39:K44"/>
    <mergeCell ref="L39:L44"/>
    <mergeCell ref="F33:F38"/>
    <mergeCell ref="G33:G38"/>
    <mergeCell ref="H33:H38"/>
    <mergeCell ref="I33:I38"/>
    <mergeCell ref="J33:J38"/>
    <mergeCell ref="G39:G44"/>
    <mergeCell ref="H39:H44"/>
    <mergeCell ref="I39:I44"/>
    <mergeCell ref="K33:K38"/>
    <mergeCell ref="L33:L38"/>
    <mergeCell ref="M21:M26"/>
    <mergeCell ref="N21:N26"/>
    <mergeCell ref="A27:A32"/>
    <mergeCell ref="B27:B32"/>
    <mergeCell ref="C27:C32"/>
    <mergeCell ref="D27:D32"/>
    <mergeCell ref="E27:E32"/>
    <mergeCell ref="F27:F32"/>
    <mergeCell ref="G27:G32"/>
    <mergeCell ref="H27:H32"/>
    <mergeCell ref="I27:I32"/>
    <mergeCell ref="J27:J32"/>
    <mergeCell ref="K27:K32"/>
    <mergeCell ref="L27:L32"/>
    <mergeCell ref="M27:M32"/>
    <mergeCell ref="N27:N32"/>
    <mergeCell ref="K15:K20"/>
    <mergeCell ref="L15:L20"/>
    <mergeCell ref="M15:M20"/>
    <mergeCell ref="N15:N20"/>
    <mergeCell ref="A21:A26"/>
    <mergeCell ref="B21:B26"/>
    <mergeCell ref="C21:C26"/>
    <mergeCell ref="D21:D26"/>
    <mergeCell ref="E21:E26"/>
    <mergeCell ref="F21:F26"/>
    <mergeCell ref="G21:G26"/>
    <mergeCell ref="H21:H26"/>
    <mergeCell ref="I21:I26"/>
    <mergeCell ref="J21:J26"/>
    <mergeCell ref="K21:K26"/>
    <mergeCell ref="L21:L26"/>
    <mergeCell ref="F15:F20"/>
    <mergeCell ref="G15:G20"/>
    <mergeCell ref="H15:H20"/>
    <mergeCell ref="I15:I20"/>
    <mergeCell ref="J15:J20"/>
    <mergeCell ref="A15:A20"/>
    <mergeCell ref="B15:B20"/>
    <mergeCell ref="C15:C20"/>
    <mergeCell ref="D15:D20"/>
    <mergeCell ref="E15:E20"/>
    <mergeCell ref="AE7:AE8"/>
    <mergeCell ref="AJ7:AJ8"/>
    <mergeCell ref="AI7:AI8"/>
    <mergeCell ref="AH7:AH8"/>
    <mergeCell ref="AG7:AG8"/>
    <mergeCell ref="AF7:AF8"/>
    <mergeCell ref="A3:B3"/>
    <mergeCell ref="A4:B4"/>
    <mergeCell ref="A5:B5"/>
    <mergeCell ref="A7:A8"/>
    <mergeCell ref="F7:F8"/>
    <mergeCell ref="E7:E8"/>
    <mergeCell ref="D7:D8"/>
    <mergeCell ref="C7:C8"/>
    <mergeCell ref="AD7:AD8"/>
    <mergeCell ref="C4:N4"/>
    <mergeCell ref="C5:N5"/>
    <mergeCell ref="O7:O8"/>
    <mergeCell ref="AC7:AC8"/>
    <mergeCell ref="AB7:AB8"/>
    <mergeCell ref="X7:X8"/>
    <mergeCell ref="P7:P8"/>
    <mergeCell ref="AA7:AA8"/>
    <mergeCell ref="Y7:Y8"/>
    <mergeCell ref="Z7:Z8"/>
    <mergeCell ref="G7:G8"/>
    <mergeCell ref="H7:H8"/>
    <mergeCell ref="I7:I8"/>
    <mergeCell ref="L7:L8"/>
    <mergeCell ref="M7:M8"/>
    <mergeCell ref="B7:B8"/>
    <mergeCell ref="N7:N8"/>
    <mergeCell ref="J7:J8"/>
    <mergeCell ref="K7:K8"/>
    <mergeCell ref="Q7:Q8"/>
    <mergeCell ref="R7:W7"/>
    <mergeCell ref="F9:F14"/>
    <mergeCell ref="G9:G14"/>
    <mergeCell ref="H9:H14"/>
    <mergeCell ref="V9:V10"/>
    <mergeCell ref="W9:W10"/>
    <mergeCell ref="Y9:Y10"/>
    <mergeCell ref="AJ15:AJ16"/>
    <mergeCell ref="AE9:AE10"/>
    <mergeCell ref="AF9:AF10"/>
    <mergeCell ref="AG9:AG10"/>
    <mergeCell ref="AH9:AH10"/>
    <mergeCell ref="AI9:AI10"/>
    <mergeCell ref="AJ9:AJ10"/>
    <mergeCell ref="Z9:Z10"/>
    <mergeCell ref="AA9:AA10"/>
    <mergeCell ref="AB9:AB10"/>
    <mergeCell ref="AC9:AC10"/>
    <mergeCell ref="AD9:AD10"/>
    <mergeCell ref="P15:P16"/>
    <mergeCell ref="Q15:Q16"/>
    <mergeCell ref="R15:R16"/>
    <mergeCell ref="S15:S16"/>
    <mergeCell ref="A9:A14"/>
    <mergeCell ref="B9:B14"/>
    <mergeCell ref="C9:C14"/>
    <mergeCell ref="D9:D14"/>
    <mergeCell ref="E9:E14"/>
    <mergeCell ref="N9:N14"/>
    <mergeCell ref="I9:I14"/>
    <mergeCell ref="J9:J14"/>
    <mergeCell ref="K9:K14"/>
    <mergeCell ref="L9:L14"/>
    <mergeCell ref="M9:M14"/>
    <mergeCell ref="P9:P10"/>
    <mergeCell ref="Q9:Q10"/>
    <mergeCell ref="R9:R10"/>
    <mergeCell ref="S9:S10"/>
    <mergeCell ref="T9:T10"/>
    <mergeCell ref="T15:T16"/>
    <mergeCell ref="U15:U16"/>
    <mergeCell ref="V15:V16"/>
    <mergeCell ref="W15:W16"/>
    <mergeCell ref="Y15:Y16"/>
    <mergeCell ref="Z15:Z16"/>
    <mergeCell ref="AA15:AA16"/>
    <mergeCell ref="AB15:AB16"/>
    <mergeCell ref="AC15:AC16"/>
    <mergeCell ref="AD15:AD16"/>
    <mergeCell ref="O9:O10"/>
    <mergeCell ref="O15:O16"/>
    <mergeCell ref="AE15:AE16"/>
    <mergeCell ref="AF15:AF16"/>
    <mergeCell ref="AG15:AG16"/>
    <mergeCell ref="AH15:AH16"/>
    <mergeCell ref="AI15:AI16"/>
    <mergeCell ref="U9:U10"/>
  </mergeCells>
  <conditionalFormatting sqref="H9 H15">
    <cfRule type="cellIs" dxfId="954" priority="1854" operator="equal">
      <formula>"Muy Alta"</formula>
    </cfRule>
    <cfRule type="cellIs" dxfId="953" priority="1855" operator="equal">
      <formula>"Alta"</formula>
    </cfRule>
    <cfRule type="cellIs" dxfId="952" priority="1856" operator="equal">
      <formula>"Media"</formula>
    </cfRule>
    <cfRule type="cellIs" dxfId="951" priority="1857" operator="equal">
      <formula>"Baja"</formula>
    </cfRule>
    <cfRule type="cellIs" dxfId="950" priority="1858" operator="equal">
      <formula>"Muy Baja"</formula>
    </cfRule>
  </conditionalFormatting>
  <conditionalFormatting sqref="L9 L15 L21 L27 L33 L39 L45 L51 L57 L63">
    <cfRule type="cellIs" dxfId="949" priority="1849" operator="equal">
      <formula>"Catastrófico"</formula>
    </cfRule>
    <cfRule type="cellIs" dxfId="948" priority="1850" operator="equal">
      <formula>"Mayor"</formula>
    </cfRule>
    <cfRule type="cellIs" dxfId="947" priority="1851" operator="equal">
      <formula>"Moderado"</formula>
    </cfRule>
    <cfRule type="cellIs" dxfId="946" priority="1852" operator="equal">
      <formula>"Menor"</formula>
    </cfRule>
    <cfRule type="cellIs" dxfId="945" priority="1853" operator="equal">
      <formula>"Leve"</formula>
    </cfRule>
  </conditionalFormatting>
  <conditionalFormatting sqref="N9">
    <cfRule type="cellIs" dxfId="944" priority="1845" operator="equal">
      <formula>"Extremo"</formula>
    </cfRule>
    <cfRule type="cellIs" dxfId="943" priority="1846" operator="equal">
      <formula>"Alto"</formula>
    </cfRule>
    <cfRule type="cellIs" dxfId="942" priority="1847" operator="equal">
      <formula>"Moderado"</formula>
    </cfRule>
    <cfRule type="cellIs" dxfId="941" priority="1848" operator="equal">
      <formula>"Bajo"</formula>
    </cfRule>
  </conditionalFormatting>
  <conditionalFormatting sqref="Y9 Y11:Y14">
    <cfRule type="cellIs" dxfId="940" priority="1840" operator="equal">
      <formula>"Muy Alta"</formula>
    </cfRule>
    <cfRule type="cellIs" dxfId="939" priority="1841" operator="equal">
      <formula>"Alta"</formula>
    </cfRule>
    <cfRule type="cellIs" dxfId="938" priority="1842" operator="equal">
      <formula>"Media"</formula>
    </cfRule>
    <cfRule type="cellIs" dxfId="937" priority="1843" operator="equal">
      <formula>"Baja"</formula>
    </cfRule>
    <cfRule type="cellIs" dxfId="936" priority="1844" operator="equal">
      <formula>"Muy Baja"</formula>
    </cfRule>
  </conditionalFormatting>
  <conditionalFormatting sqref="AA9 AA11:AA14">
    <cfRule type="cellIs" dxfId="935" priority="1835" operator="equal">
      <formula>"Catastrófico"</formula>
    </cfRule>
    <cfRule type="cellIs" dxfId="934" priority="1836" operator="equal">
      <formula>"Mayor"</formula>
    </cfRule>
    <cfRule type="cellIs" dxfId="933" priority="1837" operator="equal">
      <formula>"Moderado"</formula>
    </cfRule>
    <cfRule type="cellIs" dxfId="932" priority="1838" operator="equal">
      <formula>"Menor"</formula>
    </cfRule>
    <cfRule type="cellIs" dxfId="931" priority="1839" operator="equal">
      <formula>"Leve"</formula>
    </cfRule>
  </conditionalFormatting>
  <conditionalFormatting sqref="AC9 AC11:AC14">
    <cfRule type="cellIs" dxfId="930" priority="1831" operator="equal">
      <formula>"Extremo"</formula>
    </cfRule>
    <cfRule type="cellIs" dxfId="929" priority="1832" operator="equal">
      <formula>"Alto"</formula>
    </cfRule>
    <cfRule type="cellIs" dxfId="928" priority="1833" operator="equal">
      <formula>"Moderado"</formula>
    </cfRule>
    <cfRule type="cellIs" dxfId="927" priority="1834" operator="equal">
      <formula>"Bajo"</formula>
    </cfRule>
  </conditionalFormatting>
  <conditionalFormatting sqref="H57">
    <cfRule type="cellIs" dxfId="926" priority="1588" operator="equal">
      <formula>"Muy Alta"</formula>
    </cfRule>
    <cfRule type="cellIs" dxfId="925" priority="1589" operator="equal">
      <formula>"Alta"</formula>
    </cfRule>
    <cfRule type="cellIs" dxfId="924" priority="1590" operator="equal">
      <formula>"Media"</formula>
    </cfRule>
    <cfRule type="cellIs" dxfId="923" priority="1591" operator="equal">
      <formula>"Baja"</formula>
    </cfRule>
    <cfRule type="cellIs" dxfId="922" priority="1592" operator="equal">
      <formula>"Muy Baja"</formula>
    </cfRule>
  </conditionalFormatting>
  <conditionalFormatting sqref="N15">
    <cfRule type="cellIs" dxfId="921" priority="1775" operator="equal">
      <formula>"Extremo"</formula>
    </cfRule>
    <cfRule type="cellIs" dxfId="920" priority="1776" operator="equal">
      <formula>"Alto"</formula>
    </cfRule>
    <cfRule type="cellIs" dxfId="919" priority="1777" operator="equal">
      <formula>"Moderado"</formula>
    </cfRule>
    <cfRule type="cellIs" dxfId="918" priority="1778" operator="equal">
      <formula>"Bajo"</formula>
    </cfRule>
  </conditionalFormatting>
  <conditionalFormatting sqref="Y15 Y17:Y20">
    <cfRule type="cellIs" dxfId="917" priority="1770" operator="equal">
      <formula>"Muy Alta"</formula>
    </cfRule>
    <cfRule type="cellIs" dxfId="916" priority="1771" operator="equal">
      <formula>"Alta"</formula>
    </cfRule>
    <cfRule type="cellIs" dxfId="915" priority="1772" operator="equal">
      <formula>"Media"</formula>
    </cfRule>
    <cfRule type="cellIs" dxfId="914" priority="1773" operator="equal">
      <formula>"Baja"</formula>
    </cfRule>
    <cfRule type="cellIs" dxfId="913" priority="1774" operator="equal">
      <formula>"Muy Baja"</formula>
    </cfRule>
  </conditionalFormatting>
  <conditionalFormatting sqref="AA15 AA17:AA20">
    <cfRule type="cellIs" dxfId="912" priority="1765" operator="equal">
      <formula>"Catastrófico"</formula>
    </cfRule>
    <cfRule type="cellIs" dxfId="911" priority="1766" operator="equal">
      <formula>"Mayor"</formula>
    </cfRule>
    <cfRule type="cellIs" dxfId="910" priority="1767" operator="equal">
      <formula>"Moderado"</formula>
    </cfRule>
    <cfRule type="cellIs" dxfId="909" priority="1768" operator="equal">
      <formula>"Menor"</formula>
    </cfRule>
    <cfRule type="cellIs" dxfId="908" priority="1769" operator="equal">
      <formula>"Leve"</formula>
    </cfRule>
  </conditionalFormatting>
  <conditionalFormatting sqref="AC15 AC17:AC20">
    <cfRule type="cellIs" dxfId="907" priority="1761" operator="equal">
      <formula>"Extremo"</formula>
    </cfRule>
    <cfRule type="cellIs" dxfId="906" priority="1762" operator="equal">
      <formula>"Alto"</formula>
    </cfRule>
    <cfRule type="cellIs" dxfId="905" priority="1763" operator="equal">
      <formula>"Moderado"</formula>
    </cfRule>
    <cfRule type="cellIs" dxfId="904" priority="1764" operator="equal">
      <formula>"Bajo"</formula>
    </cfRule>
  </conditionalFormatting>
  <conditionalFormatting sqref="H21">
    <cfRule type="cellIs" dxfId="903" priority="1756" operator="equal">
      <formula>"Muy Alta"</formula>
    </cfRule>
    <cfRule type="cellIs" dxfId="902" priority="1757" operator="equal">
      <formula>"Alta"</formula>
    </cfRule>
    <cfRule type="cellIs" dxfId="901" priority="1758" operator="equal">
      <formula>"Media"</formula>
    </cfRule>
    <cfRule type="cellIs" dxfId="900" priority="1759" operator="equal">
      <formula>"Baja"</formula>
    </cfRule>
    <cfRule type="cellIs" dxfId="899" priority="1760" operator="equal">
      <formula>"Muy Baja"</formula>
    </cfRule>
  </conditionalFormatting>
  <conditionalFormatting sqref="N21">
    <cfRule type="cellIs" dxfId="898" priority="1747" operator="equal">
      <formula>"Extremo"</formula>
    </cfRule>
    <cfRule type="cellIs" dxfId="897" priority="1748" operator="equal">
      <formula>"Alto"</formula>
    </cfRule>
    <cfRule type="cellIs" dxfId="896" priority="1749" operator="equal">
      <formula>"Moderado"</formula>
    </cfRule>
    <cfRule type="cellIs" dxfId="895" priority="1750" operator="equal">
      <formula>"Bajo"</formula>
    </cfRule>
  </conditionalFormatting>
  <conditionalFormatting sqref="Y21:Y26">
    <cfRule type="cellIs" dxfId="894" priority="1742" operator="equal">
      <formula>"Muy Alta"</formula>
    </cfRule>
    <cfRule type="cellIs" dxfId="893" priority="1743" operator="equal">
      <formula>"Alta"</formula>
    </cfRule>
    <cfRule type="cellIs" dxfId="892" priority="1744" operator="equal">
      <formula>"Media"</formula>
    </cfRule>
    <cfRule type="cellIs" dxfId="891" priority="1745" operator="equal">
      <formula>"Baja"</formula>
    </cfRule>
    <cfRule type="cellIs" dxfId="890" priority="1746" operator="equal">
      <formula>"Muy Baja"</formula>
    </cfRule>
  </conditionalFormatting>
  <conditionalFormatting sqref="AA21:AA26">
    <cfRule type="cellIs" dxfId="889" priority="1737" operator="equal">
      <formula>"Catastrófico"</formula>
    </cfRule>
    <cfRule type="cellIs" dxfId="888" priority="1738" operator="equal">
      <formula>"Mayor"</formula>
    </cfRule>
    <cfRule type="cellIs" dxfId="887" priority="1739" operator="equal">
      <formula>"Moderado"</formula>
    </cfRule>
    <cfRule type="cellIs" dxfId="886" priority="1740" operator="equal">
      <formula>"Menor"</formula>
    </cfRule>
    <cfRule type="cellIs" dxfId="885" priority="1741" operator="equal">
      <formula>"Leve"</formula>
    </cfRule>
  </conditionalFormatting>
  <conditionalFormatting sqref="AC21:AC26">
    <cfRule type="cellIs" dxfId="884" priority="1733" operator="equal">
      <formula>"Extremo"</formula>
    </cfRule>
    <cfRule type="cellIs" dxfId="883" priority="1734" operator="equal">
      <formula>"Alto"</formula>
    </cfRule>
    <cfRule type="cellIs" dxfId="882" priority="1735" operator="equal">
      <formula>"Moderado"</formula>
    </cfRule>
    <cfRule type="cellIs" dxfId="881" priority="1736" operator="equal">
      <formula>"Bajo"</formula>
    </cfRule>
  </conditionalFormatting>
  <conditionalFormatting sqref="H27">
    <cfRule type="cellIs" dxfId="880" priority="1728" operator="equal">
      <formula>"Muy Alta"</formula>
    </cfRule>
    <cfRule type="cellIs" dxfId="879" priority="1729" operator="equal">
      <formula>"Alta"</formula>
    </cfRule>
    <cfRule type="cellIs" dxfId="878" priority="1730" operator="equal">
      <formula>"Media"</formula>
    </cfRule>
    <cfRule type="cellIs" dxfId="877" priority="1731" operator="equal">
      <formula>"Baja"</formula>
    </cfRule>
    <cfRule type="cellIs" dxfId="876" priority="1732" operator="equal">
      <formula>"Muy Baja"</formula>
    </cfRule>
  </conditionalFormatting>
  <conditionalFormatting sqref="N27">
    <cfRule type="cellIs" dxfId="875" priority="1719" operator="equal">
      <formula>"Extremo"</formula>
    </cfRule>
    <cfRule type="cellIs" dxfId="874" priority="1720" operator="equal">
      <formula>"Alto"</formula>
    </cfRule>
    <cfRule type="cellIs" dxfId="873" priority="1721" operator="equal">
      <formula>"Moderado"</formula>
    </cfRule>
    <cfRule type="cellIs" dxfId="872" priority="1722" operator="equal">
      <formula>"Bajo"</formula>
    </cfRule>
  </conditionalFormatting>
  <conditionalFormatting sqref="Y27:Y32">
    <cfRule type="cellIs" dxfId="871" priority="1714" operator="equal">
      <formula>"Muy Alta"</formula>
    </cfRule>
    <cfRule type="cellIs" dxfId="870" priority="1715" operator="equal">
      <formula>"Alta"</formula>
    </cfRule>
    <cfRule type="cellIs" dxfId="869" priority="1716" operator="equal">
      <formula>"Media"</formula>
    </cfRule>
    <cfRule type="cellIs" dxfId="868" priority="1717" operator="equal">
      <formula>"Baja"</formula>
    </cfRule>
    <cfRule type="cellIs" dxfId="867" priority="1718" operator="equal">
      <formula>"Muy Baja"</formula>
    </cfRule>
  </conditionalFormatting>
  <conditionalFormatting sqref="AA27:AA32">
    <cfRule type="cellIs" dxfId="866" priority="1709" operator="equal">
      <formula>"Catastrófico"</formula>
    </cfRule>
    <cfRule type="cellIs" dxfId="865" priority="1710" operator="equal">
      <formula>"Mayor"</formula>
    </cfRule>
    <cfRule type="cellIs" dxfId="864" priority="1711" operator="equal">
      <formula>"Moderado"</formula>
    </cfRule>
    <cfRule type="cellIs" dxfId="863" priority="1712" operator="equal">
      <formula>"Menor"</formula>
    </cfRule>
    <cfRule type="cellIs" dxfId="862" priority="1713" operator="equal">
      <formula>"Leve"</formula>
    </cfRule>
  </conditionalFormatting>
  <conditionalFormatting sqref="AC27:AC32">
    <cfRule type="cellIs" dxfId="861" priority="1705" operator="equal">
      <formula>"Extremo"</formula>
    </cfRule>
    <cfRule type="cellIs" dxfId="860" priority="1706" operator="equal">
      <formula>"Alto"</formula>
    </cfRule>
    <cfRule type="cellIs" dxfId="859" priority="1707" operator="equal">
      <formula>"Moderado"</formula>
    </cfRule>
    <cfRule type="cellIs" dxfId="858" priority="1708" operator="equal">
      <formula>"Bajo"</formula>
    </cfRule>
  </conditionalFormatting>
  <conditionalFormatting sqref="H33">
    <cfRule type="cellIs" dxfId="857" priority="1700" operator="equal">
      <formula>"Muy Alta"</formula>
    </cfRule>
    <cfRule type="cellIs" dxfId="856" priority="1701" operator="equal">
      <formula>"Alta"</formula>
    </cfRule>
    <cfRule type="cellIs" dxfId="855" priority="1702" operator="equal">
      <formula>"Media"</formula>
    </cfRule>
    <cfRule type="cellIs" dxfId="854" priority="1703" operator="equal">
      <formula>"Baja"</formula>
    </cfRule>
    <cfRule type="cellIs" dxfId="853" priority="1704" operator="equal">
      <formula>"Muy Baja"</formula>
    </cfRule>
  </conditionalFormatting>
  <conditionalFormatting sqref="N33">
    <cfRule type="cellIs" dxfId="852" priority="1691" operator="equal">
      <formula>"Extremo"</formula>
    </cfRule>
    <cfRule type="cellIs" dxfId="851" priority="1692" operator="equal">
      <formula>"Alto"</formula>
    </cfRule>
    <cfRule type="cellIs" dxfId="850" priority="1693" operator="equal">
      <formula>"Moderado"</formula>
    </cfRule>
    <cfRule type="cellIs" dxfId="849" priority="1694" operator="equal">
      <formula>"Bajo"</formula>
    </cfRule>
  </conditionalFormatting>
  <conditionalFormatting sqref="Y33:Y38">
    <cfRule type="cellIs" dxfId="848" priority="1686" operator="equal">
      <formula>"Muy Alta"</formula>
    </cfRule>
    <cfRule type="cellIs" dxfId="847" priority="1687" operator="equal">
      <formula>"Alta"</formula>
    </cfRule>
    <cfRule type="cellIs" dxfId="846" priority="1688" operator="equal">
      <formula>"Media"</formula>
    </cfRule>
    <cfRule type="cellIs" dxfId="845" priority="1689" operator="equal">
      <formula>"Baja"</formula>
    </cfRule>
    <cfRule type="cellIs" dxfId="844" priority="1690" operator="equal">
      <formula>"Muy Baja"</formula>
    </cfRule>
  </conditionalFormatting>
  <conditionalFormatting sqref="AA33:AA38">
    <cfRule type="cellIs" dxfId="843" priority="1681" operator="equal">
      <formula>"Catastrófico"</formula>
    </cfRule>
    <cfRule type="cellIs" dxfId="842" priority="1682" operator="equal">
      <formula>"Mayor"</formula>
    </cfRule>
    <cfRule type="cellIs" dxfId="841" priority="1683" operator="equal">
      <formula>"Moderado"</formula>
    </cfRule>
    <cfRule type="cellIs" dxfId="840" priority="1684" operator="equal">
      <formula>"Menor"</formula>
    </cfRule>
    <cfRule type="cellIs" dxfId="839" priority="1685" operator="equal">
      <formula>"Leve"</formula>
    </cfRule>
  </conditionalFormatting>
  <conditionalFormatting sqref="AC33:AC38">
    <cfRule type="cellIs" dxfId="838" priority="1677" operator="equal">
      <formula>"Extremo"</formula>
    </cfRule>
    <cfRule type="cellIs" dxfId="837" priority="1678" operator="equal">
      <formula>"Alto"</formula>
    </cfRule>
    <cfRule type="cellIs" dxfId="836" priority="1679" operator="equal">
      <formula>"Moderado"</formula>
    </cfRule>
    <cfRule type="cellIs" dxfId="835" priority="1680" operator="equal">
      <formula>"Bajo"</formula>
    </cfRule>
  </conditionalFormatting>
  <conditionalFormatting sqref="H39">
    <cfRule type="cellIs" dxfId="834" priority="1672" operator="equal">
      <formula>"Muy Alta"</formula>
    </cfRule>
    <cfRule type="cellIs" dxfId="833" priority="1673" operator="equal">
      <formula>"Alta"</formula>
    </cfRule>
    <cfRule type="cellIs" dxfId="832" priority="1674" operator="equal">
      <formula>"Media"</formula>
    </cfRule>
    <cfRule type="cellIs" dxfId="831" priority="1675" operator="equal">
      <formula>"Baja"</formula>
    </cfRule>
    <cfRule type="cellIs" dxfId="830" priority="1676" operator="equal">
      <formula>"Muy Baja"</formula>
    </cfRule>
  </conditionalFormatting>
  <conditionalFormatting sqref="N39">
    <cfRule type="cellIs" dxfId="829" priority="1663" operator="equal">
      <formula>"Extremo"</formula>
    </cfRule>
    <cfRule type="cellIs" dxfId="828" priority="1664" operator="equal">
      <formula>"Alto"</formula>
    </cfRule>
    <cfRule type="cellIs" dxfId="827" priority="1665" operator="equal">
      <formula>"Moderado"</formula>
    </cfRule>
    <cfRule type="cellIs" dxfId="826" priority="1666" operator="equal">
      <formula>"Bajo"</formula>
    </cfRule>
  </conditionalFormatting>
  <conditionalFormatting sqref="Y39:Y44">
    <cfRule type="cellIs" dxfId="825" priority="1658" operator="equal">
      <formula>"Muy Alta"</formula>
    </cfRule>
    <cfRule type="cellIs" dxfId="824" priority="1659" operator="equal">
      <formula>"Alta"</formula>
    </cfRule>
    <cfRule type="cellIs" dxfId="823" priority="1660" operator="equal">
      <formula>"Media"</formula>
    </cfRule>
    <cfRule type="cellIs" dxfId="822" priority="1661" operator="equal">
      <formula>"Baja"</formula>
    </cfRule>
    <cfRule type="cellIs" dxfId="821" priority="1662" operator="equal">
      <formula>"Muy Baja"</formula>
    </cfRule>
  </conditionalFormatting>
  <conditionalFormatting sqref="AA39:AA44">
    <cfRule type="cellIs" dxfId="820" priority="1653" operator="equal">
      <formula>"Catastrófico"</formula>
    </cfRule>
    <cfRule type="cellIs" dxfId="819" priority="1654" operator="equal">
      <formula>"Mayor"</formula>
    </cfRule>
    <cfRule type="cellIs" dxfId="818" priority="1655" operator="equal">
      <formula>"Moderado"</formula>
    </cfRule>
    <cfRule type="cellIs" dxfId="817" priority="1656" operator="equal">
      <formula>"Menor"</formula>
    </cfRule>
    <cfRule type="cellIs" dxfId="816" priority="1657" operator="equal">
      <formula>"Leve"</formula>
    </cfRule>
  </conditionalFormatting>
  <conditionalFormatting sqref="AC39:AC44">
    <cfRule type="cellIs" dxfId="815" priority="1649" operator="equal">
      <formula>"Extremo"</formula>
    </cfRule>
    <cfRule type="cellIs" dxfId="814" priority="1650" operator="equal">
      <formula>"Alto"</formula>
    </cfRule>
    <cfRule type="cellIs" dxfId="813" priority="1651" operator="equal">
      <formula>"Moderado"</formula>
    </cfRule>
    <cfRule type="cellIs" dxfId="812" priority="1652" operator="equal">
      <formula>"Bajo"</formula>
    </cfRule>
  </conditionalFormatting>
  <conditionalFormatting sqref="H45">
    <cfRule type="cellIs" dxfId="811" priority="1644" operator="equal">
      <formula>"Muy Alta"</formula>
    </cfRule>
    <cfRule type="cellIs" dxfId="810" priority="1645" operator="equal">
      <formula>"Alta"</formula>
    </cfRule>
    <cfRule type="cellIs" dxfId="809" priority="1646" operator="equal">
      <formula>"Media"</formula>
    </cfRule>
    <cfRule type="cellIs" dxfId="808" priority="1647" operator="equal">
      <formula>"Baja"</formula>
    </cfRule>
    <cfRule type="cellIs" dxfId="807" priority="1648" operator="equal">
      <formula>"Muy Baja"</formula>
    </cfRule>
  </conditionalFormatting>
  <conditionalFormatting sqref="N45">
    <cfRule type="cellIs" dxfId="806" priority="1635" operator="equal">
      <formula>"Extremo"</formula>
    </cfRule>
    <cfRule type="cellIs" dxfId="805" priority="1636" operator="equal">
      <formula>"Alto"</formula>
    </cfRule>
    <cfRule type="cellIs" dxfId="804" priority="1637" operator="equal">
      <formula>"Moderado"</formula>
    </cfRule>
    <cfRule type="cellIs" dxfId="803" priority="1638" operator="equal">
      <formula>"Bajo"</formula>
    </cfRule>
  </conditionalFormatting>
  <conditionalFormatting sqref="Y45:Y50">
    <cfRule type="cellIs" dxfId="802" priority="1630" operator="equal">
      <formula>"Muy Alta"</formula>
    </cfRule>
    <cfRule type="cellIs" dxfId="801" priority="1631" operator="equal">
      <formula>"Alta"</formula>
    </cfRule>
    <cfRule type="cellIs" dxfId="800" priority="1632" operator="equal">
      <formula>"Media"</formula>
    </cfRule>
    <cfRule type="cellIs" dxfId="799" priority="1633" operator="equal">
      <formula>"Baja"</formula>
    </cfRule>
    <cfRule type="cellIs" dxfId="798" priority="1634" operator="equal">
      <formula>"Muy Baja"</formula>
    </cfRule>
  </conditionalFormatting>
  <conditionalFormatting sqref="AA45:AA50">
    <cfRule type="cellIs" dxfId="797" priority="1625" operator="equal">
      <formula>"Catastrófico"</formula>
    </cfRule>
    <cfRule type="cellIs" dxfId="796" priority="1626" operator="equal">
      <formula>"Mayor"</formula>
    </cfRule>
    <cfRule type="cellIs" dxfId="795" priority="1627" operator="equal">
      <formula>"Moderado"</formula>
    </cfRule>
    <cfRule type="cellIs" dxfId="794" priority="1628" operator="equal">
      <formula>"Menor"</formula>
    </cfRule>
    <cfRule type="cellIs" dxfId="793" priority="1629" operator="equal">
      <formula>"Leve"</formula>
    </cfRule>
  </conditionalFormatting>
  <conditionalFormatting sqref="AC45:AC50">
    <cfRule type="cellIs" dxfId="792" priority="1621" operator="equal">
      <formula>"Extremo"</formula>
    </cfRule>
    <cfRule type="cellIs" dxfId="791" priority="1622" operator="equal">
      <formula>"Alto"</formula>
    </cfRule>
    <cfRule type="cellIs" dxfId="790" priority="1623" operator="equal">
      <formula>"Moderado"</formula>
    </cfRule>
    <cfRule type="cellIs" dxfId="789" priority="1624" operator="equal">
      <formula>"Bajo"</formula>
    </cfRule>
  </conditionalFormatting>
  <conditionalFormatting sqref="H51">
    <cfRule type="cellIs" dxfId="788" priority="1616" operator="equal">
      <formula>"Muy Alta"</formula>
    </cfRule>
    <cfRule type="cellIs" dxfId="787" priority="1617" operator="equal">
      <formula>"Alta"</formula>
    </cfRule>
    <cfRule type="cellIs" dxfId="786" priority="1618" operator="equal">
      <formula>"Media"</formula>
    </cfRule>
    <cfRule type="cellIs" dxfId="785" priority="1619" operator="equal">
      <formula>"Baja"</formula>
    </cfRule>
    <cfRule type="cellIs" dxfId="784" priority="1620" operator="equal">
      <formula>"Muy Baja"</formula>
    </cfRule>
  </conditionalFormatting>
  <conditionalFormatting sqref="N51">
    <cfRule type="cellIs" dxfId="783" priority="1607" operator="equal">
      <formula>"Extremo"</formula>
    </cfRule>
    <cfRule type="cellIs" dxfId="782" priority="1608" operator="equal">
      <formula>"Alto"</formula>
    </cfRule>
    <cfRule type="cellIs" dxfId="781" priority="1609" operator="equal">
      <formula>"Moderado"</formula>
    </cfRule>
    <cfRule type="cellIs" dxfId="780" priority="1610" operator="equal">
      <formula>"Bajo"</formula>
    </cfRule>
  </conditionalFormatting>
  <conditionalFormatting sqref="Y51:Y56">
    <cfRule type="cellIs" dxfId="779" priority="1602" operator="equal">
      <formula>"Muy Alta"</formula>
    </cfRule>
    <cfRule type="cellIs" dxfId="778" priority="1603" operator="equal">
      <formula>"Alta"</formula>
    </cfRule>
    <cfRule type="cellIs" dxfId="777" priority="1604" operator="equal">
      <formula>"Media"</formula>
    </cfRule>
    <cfRule type="cellIs" dxfId="776" priority="1605" operator="equal">
      <formula>"Baja"</formula>
    </cfRule>
    <cfRule type="cellIs" dxfId="775" priority="1606" operator="equal">
      <formula>"Muy Baja"</formula>
    </cfRule>
  </conditionalFormatting>
  <conditionalFormatting sqref="AA51:AA56">
    <cfRule type="cellIs" dxfId="774" priority="1597" operator="equal">
      <formula>"Catastrófico"</formula>
    </cfRule>
    <cfRule type="cellIs" dxfId="773" priority="1598" operator="equal">
      <formula>"Mayor"</formula>
    </cfRule>
    <cfRule type="cellIs" dxfId="772" priority="1599" operator="equal">
      <formula>"Moderado"</formula>
    </cfRule>
    <cfRule type="cellIs" dxfId="771" priority="1600" operator="equal">
      <formula>"Menor"</formula>
    </cfRule>
    <cfRule type="cellIs" dxfId="770" priority="1601" operator="equal">
      <formula>"Leve"</formula>
    </cfRule>
  </conditionalFormatting>
  <conditionalFormatting sqref="AC51:AC56">
    <cfRule type="cellIs" dxfId="769" priority="1593" operator="equal">
      <formula>"Extremo"</formula>
    </cfRule>
    <cfRule type="cellIs" dxfId="768" priority="1594" operator="equal">
      <formula>"Alto"</formula>
    </cfRule>
    <cfRule type="cellIs" dxfId="767" priority="1595" operator="equal">
      <formula>"Moderado"</formula>
    </cfRule>
    <cfRule type="cellIs" dxfId="766" priority="1596" operator="equal">
      <formula>"Bajo"</formula>
    </cfRule>
  </conditionalFormatting>
  <conditionalFormatting sqref="N57">
    <cfRule type="cellIs" dxfId="765" priority="1579" operator="equal">
      <formula>"Extremo"</formula>
    </cfRule>
    <cfRule type="cellIs" dxfId="764" priority="1580" operator="equal">
      <formula>"Alto"</formula>
    </cfRule>
    <cfRule type="cellIs" dxfId="763" priority="1581" operator="equal">
      <formula>"Moderado"</formula>
    </cfRule>
    <cfRule type="cellIs" dxfId="762" priority="1582" operator="equal">
      <formula>"Bajo"</formula>
    </cfRule>
  </conditionalFormatting>
  <conditionalFormatting sqref="Y57:Y62">
    <cfRule type="cellIs" dxfId="761" priority="1574" operator="equal">
      <formula>"Muy Alta"</formula>
    </cfRule>
    <cfRule type="cellIs" dxfId="760" priority="1575" operator="equal">
      <formula>"Alta"</formula>
    </cfRule>
    <cfRule type="cellIs" dxfId="759" priority="1576" operator="equal">
      <formula>"Media"</formula>
    </cfRule>
    <cfRule type="cellIs" dxfId="758" priority="1577" operator="equal">
      <formula>"Baja"</formula>
    </cfRule>
    <cfRule type="cellIs" dxfId="757" priority="1578" operator="equal">
      <formula>"Muy Baja"</formula>
    </cfRule>
  </conditionalFormatting>
  <conditionalFormatting sqref="AA57:AA62">
    <cfRule type="cellIs" dxfId="756" priority="1569" operator="equal">
      <formula>"Catastrófico"</formula>
    </cfRule>
    <cfRule type="cellIs" dxfId="755" priority="1570" operator="equal">
      <formula>"Mayor"</formula>
    </cfRule>
    <cfRule type="cellIs" dxfId="754" priority="1571" operator="equal">
      <formula>"Moderado"</formula>
    </cfRule>
    <cfRule type="cellIs" dxfId="753" priority="1572" operator="equal">
      <formula>"Menor"</formula>
    </cfRule>
    <cfRule type="cellIs" dxfId="752" priority="1573" operator="equal">
      <formula>"Leve"</formula>
    </cfRule>
  </conditionalFormatting>
  <conditionalFormatting sqref="AC57:AC62">
    <cfRule type="cellIs" dxfId="751" priority="1565" operator="equal">
      <formula>"Extremo"</formula>
    </cfRule>
    <cfRule type="cellIs" dxfId="750" priority="1566" operator="equal">
      <formula>"Alto"</formula>
    </cfRule>
    <cfRule type="cellIs" dxfId="749" priority="1567" operator="equal">
      <formula>"Moderado"</formula>
    </cfRule>
    <cfRule type="cellIs" dxfId="748" priority="1568" operator="equal">
      <formula>"Bajo"</formula>
    </cfRule>
  </conditionalFormatting>
  <conditionalFormatting sqref="H63">
    <cfRule type="cellIs" dxfId="747" priority="1560" operator="equal">
      <formula>"Muy Alta"</formula>
    </cfRule>
    <cfRule type="cellIs" dxfId="746" priority="1561" operator="equal">
      <formula>"Alta"</formula>
    </cfRule>
    <cfRule type="cellIs" dxfId="745" priority="1562" operator="equal">
      <formula>"Media"</formula>
    </cfRule>
    <cfRule type="cellIs" dxfId="744" priority="1563" operator="equal">
      <formula>"Baja"</formula>
    </cfRule>
    <cfRule type="cellIs" dxfId="743" priority="1564" operator="equal">
      <formula>"Muy Baja"</formula>
    </cfRule>
  </conditionalFormatting>
  <conditionalFormatting sqref="N63">
    <cfRule type="cellIs" dxfId="742" priority="1551" operator="equal">
      <formula>"Extremo"</formula>
    </cfRule>
    <cfRule type="cellIs" dxfId="741" priority="1552" operator="equal">
      <formula>"Alto"</formula>
    </cfRule>
    <cfRule type="cellIs" dxfId="740" priority="1553" operator="equal">
      <formula>"Moderado"</formula>
    </cfRule>
    <cfRule type="cellIs" dxfId="739" priority="1554" operator="equal">
      <formula>"Bajo"</formula>
    </cfRule>
  </conditionalFormatting>
  <conditionalFormatting sqref="Y63:Y68">
    <cfRule type="cellIs" dxfId="738" priority="1546" operator="equal">
      <formula>"Muy Alta"</formula>
    </cfRule>
    <cfRule type="cellIs" dxfId="737" priority="1547" operator="equal">
      <formula>"Alta"</formula>
    </cfRule>
    <cfRule type="cellIs" dxfId="736" priority="1548" operator="equal">
      <formula>"Media"</formula>
    </cfRule>
    <cfRule type="cellIs" dxfId="735" priority="1549" operator="equal">
      <formula>"Baja"</formula>
    </cfRule>
    <cfRule type="cellIs" dxfId="734" priority="1550" operator="equal">
      <formula>"Muy Baja"</formula>
    </cfRule>
  </conditionalFormatting>
  <conditionalFormatting sqref="AA63:AA68">
    <cfRule type="cellIs" dxfId="733" priority="1541" operator="equal">
      <formula>"Catastrófico"</formula>
    </cfRule>
    <cfRule type="cellIs" dxfId="732" priority="1542" operator="equal">
      <formula>"Mayor"</formula>
    </cfRule>
    <cfRule type="cellIs" dxfId="731" priority="1543" operator="equal">
      <formula>"Moderado"</formula>
    </cfRule>
    <cfRule type="cellIs" dxfId="730" priority="1544" operator="equal">
      <formula>"Menor"</formula>
    </cfRule>
    <cfRule type="cellIs" dxfId="729" priority="1545" operator="equal">
      <formula>"Leve"</formula>
    </cfRule>
  </conditionalFormatting>
  <conditionalFormatting sqref="AC63:AC68">
    <cfRule type="cellIs" dxfId="728" priority="1537" operator="equal">
      <formula>"Extremo"</formula>
    </cfRule>
    <cfRule type="cellIs" dxfId="727" priority="1538" operator="equal">
      <formula>"Alto"</formula>
    </cfRule>
    <cfRule type="cellIs" dxfId="726" priority="1539" operator="equal">
      <formula>"Moderado"</formula>
    </cfRule>
    <cfRule type="cellIs" dxfId="725" priority="1540" operator="equal">
      <formula>"Bajo"</formula>
    </cfRule>
  </conditionalFormatting>
  <conditionalFormatting sqref="K9:K68 K301:K318">
    <cfRule type="containsText" dxfId="724" priority="1536" operator="containsText" text="❌">
      <formula>NOT(ISERROR(SEARCH("❌",K9)))</formula>
    </cfRule>
  </conditionalFormatting>
  <conditionalFormatting sqref="H78">
    <cfRule type="cellIs" dxfId="723" priority="1054" operator="equal">
      <formula>"Muy Alta"</formula>
    </cfRule>
    <cfRule type="cellIs" dxfId="722" priority="1055" operator="equal">
      <formula>"Alta"</formula>
    </cfRule>
    <cfRule type="cellIs" dxfId="721" priority="1056" operator="equal">
      <formula>"Media"</formula>
    </cfRule>
    <cfRule type="cellIs" dxfId="720" priority="1057" operator="equal">
      <formula>"Baja"</formula>
    </cfRule>
    <cfRule type="cellIs" dxfId="719" priority="1058" operator="equal">
      <formula>"Muy Baja"</formula>
    </cfRule>
  </conditionalFormatting>
  <conditionalFormatting sqref="L78">
    <cfRule type="cellIs" dxfId="718" priority="1049" operator="equal">
      <formula>"Catastrófico"</formula>
    </cfRule>
    <cfRule type="cellIs" dxfId="717" priority="1050" operator="equal">
      <formula>"Mayor"</formula>
    </cfRule>
    <cfRule type="cellIs" dxfId="716" priority="1051" operator="equal">
      <formula>"Moderado"</formula>
    </cfRule>
    <cfRule type="cellIs" dxfId="715" priority="1052" operator="equal">
      <formula>"Menor"</formula>
    </cfRule>
    <cfRule type="cellIs" dxfId="714" priority="1053" operator="equal">
      <formula>"Leve"</formula>
    </cfRule>
  </conditionalFormatting>
  <conditionalFormatting sqref="N78">
    <cfRule type="cellIs" dxfId="713" priority="1045" operator="equal">
      <formula>"Extremo"</formula>
    </cfRule>
    <cfRule type="cellIs" dxfId="712" priority="1046" operator="equal">
      <formula>"Alto"</formula>
    </cfRule>
    <cfRule type="cellIs" dxfId="711" priority="1047" operator="equal">
      <formula>"Moderado"</formula>
    </cfRule>
    <cfRule type="cellIs" dxfId="710" priority="1048" operator="equal">
      <formula>"Bajo"</formula>
    </cfRule>
  </conditionalFormatting>
  <conditionalFormatting sqref="Y78 Y80:Y83">
    <cfRule type="cellIs" dxfId="709" priority="1040" operator="equal">
      <formula>"Muy Alta"</formula>
    </cfRule>
    <cfRule type="cellIs" dxfId="708" priority="1041" operator="equal">
      <formula>"Alta"</formula>
    </cfRule>
    <cfRule type="cellIs" dxfId="707" priority="1042" operator="equal">
      <formula>"Media"</formula>
    </cfRule>
    <cfRule type="cellIs" dxfId="706" priority="1043" operator="equal">
      <formula>"Baja"</formula>
    </cfRule>
    <cfRule type="cellIs" dxfId="705" priority="1044" operator="equal">
      <formula>"Muy Baja"</formula>
    </cfRule>
  </conditionalFormatting>
  <conditionalFormatting sqref="AA78 AA80:AA83">
    <cfRule type="cellIs" dxfId="704" priority="1035" operator="equal">
      <formula>"Catastrófico"</formula>
    </cfRule>
    <cfRule type="cellIs" dxfId="703" priority="1036" operator="equal">
      <formula>"Mayor"</formula>
    </cfRule>
    <cfRule type="cellIs" dxfId="702" priority="1037" operator="equal">
      <formula>"Moderado"</formula>
    </cfRule>
    <cfRule type="cellIs" dxfId="701" priority="1038" operator="equal">
      <formula>"Menor"</formula>
    </cfRule>
    <cfRule type="cellIs" dxfId="700" priority="1039" operator="equal">
      <formula>"Leve"</formula>
    </cfRule>
  </conditionalFormatting>
  <conditionalFormatting sqref="AC78 AC80:AC83">
    <cfRule type="cellIs" dxfId="699" priority="1031" operator="equal">
      <formula>"Extremo"</formula>
    </cfRule>
    <cfRule type="cellIs" dxfId="698" priority="1032" operator="equal">
      <formula>"Alto"</formula>
    </cfRule>
    <cfRule type="cellIs" dxfId="697" priority="1033" operator="equal">
      <formula>"Moderado"</formula>
    </cfRule>
    <cfRule type="cellIs" dxfId="696" priority="1034" operator="equal">
      <formula>"Bajo"</formula>
    </cfRule>
  </conditionalFormatting>
  <conditionalFormatting sqref="K78:K83">
    <cfRule type="containsText" dxfId="695" priority="1030" operator="containsText" text="❌">
      <formula>NOT(ISERROR(SEARCH("❌",K78)))</formula>
    </cfRule>
  </conditionalFormatting>
  <conditionalFormatting sqref="H93 H99:H100">
    <cfRule type="cellIs" dxfId="694" priority="1025" operator="equal">
      <formula>"Muy Alta"</formula>
    </cfRule>
    <cfRule type="cellIs" dxfId="693" priority="1026" operator="equal">
      <formula>"Alta"</formula>
    </cfRule>
    <cfRule type="cellIs" dxfId="692" priority="1027" operator="equal">
      <formula>"Media"</formula>
    </cfRule>
    <cfRule type="cellIs" dxfId="691" priority="1028" operator="equal">
      <formula>"Baja"</formula>
    </cfRule>
    <cfRule type="cellIs" dxfId="690" priority="1029" operator="equal">
      <formula>"Muy Baja"</formula>
    </cfRule>
  </conditionalFormatting>
  <conditionalFormatting sqref="L93 L99:L100">
    <cfRule type="cellIs" dxfId="689" priority="1020" operator="equal">
      <formula>"Catastrófico"</formula>
    </cfRule>
    <cfRule type="cellIs" dxfId="688" priority="1021" operator="equal">
      <formula>"Mayor"</formula>
    </cfRule>
    <cfRule type="cellIs" dxfId="687" priority="1022" operator="equal">
      <formula>"Moderado"</formula>
    </cfRule>
    <cfRule type="cellIs" dxfId="686" priority="1023" operator="equal">
      <formula>"Menor"</formula>
    </cfRule>
    <cfRule type="cellIs" dxfId="685" priority="1024" operator="equal">
      <formula>"Leve"</formula>
    </cfRule>
  </conditionalFormatting>
  <conditionalFormatting sqref="N93">
    <cfRule type="cellIs" dxfId="684" priority="1016" operator="equal">
      <formula>"Extremo"</formula>
    </cfRule>
    <cfRule type="cellIs" dxfId="683" priority="1017" operator="equal">
      <formula>"Alto"</formula>
    </cfRule>
    <cfRule type="cellIs" dxfId="682" priority="1018" operator="equal">
      <formula>"Moderado"</formula>
    </cfRule>
    <cfRule type="cellIs" dxfId="681" priority="1019" operator="equal">
      <formula>"Bajo"</formula>
    </cfRule>
  </conditionalFormatting>
  <conditionalFormatting sqref="Y93 Y95:Y98">
    <cfRule type="cellIs" dxfId="680" priority="1011" operator="equal">
      <formula>"Muy Alta"</formula>
    </cfRule>
    <cfRule type="cellIs" dxfId="679" priority="1012" operator="equal">
      <formula>"Alta"</formula>
    </cfRule>
    <cfRule type="cellIs" dxfId="678" priority="1013" operator="equal">
      <formula>"Media"</formula>
    </cfRule>
    <cfRule type="cellIs" dxfId="677" priority="1014" operator="equal">
      <formula>"Baja"</formula>
    </cfRule>
    <cfRule type="cellIs" dxfId="676" priority="1015" operator="equal">
      <formula>"Muy Baja"</formula>
    </cfRule>
  </conditionalFormatting>
  <conditionalFormatting sqref="AA93 AA95:AA98">
    <cfRule type="cellIs" dxfId="675" priority="1006" operator="equal">
      <formula>"Catastrófico"</formula>
    </cfRule>
    <cfRule type="cellIs" dxfId="674" priority="1007" operator="equal">
      <formula>"Mayor"</formula>
    </cfRule>
    <cfRule type="cellIs" dxfId="673" priority="1008" operator="equal">
      <formula>"Moderado"</formula>
    </cfRule>
    <cfRule type="cellIs" dxfId="672" priority="1009" operator="equal">
      <formula>"Menor"</formula>
    </cfRule>
    <cfRule type="cellIs" dxfId="671" priority="1010" operator="equal">
      <formula>"Leve"</formula>
    </cfRule>
  </conditionalFormatting>
  <conditionalFormatting sqref="AC93 AC95:AC98">
    <cfRule type="cellIs" dxfId="670" priority="1002" operator="equal">
      <formula>"Extremo"</formula>
    </cfRule>
    <cfRule type="cellIs" dxfId="669" priority="1003" operator="equal">
      <formula>"Alto"</formula>
    </cfRule>
    <cfRule type="cellIs" dxfId="668" priority="1004" operator="equal">
      <formula>"Moderado"</formula>
    </cfRule>
    <cfRule type="cellIs" dxfId="667" priority="1005" operator="equal">
      <formula>"Bajo"</formula>
    </cfRule>
  </conditionalFormatting>
  <conditionalFormatting sqref="H250">
    <cfRule type="cellIs" dxfId="666" priority="209" operator="equal">
      <formula>"Muy Alta"</formula>
    </cfRule>
    <cfRule type="cellIs" dxfId="665" priority="210" operator="equal">
      <formula>"Alta"</formula>
    </cfRule>
    <cfRule type="cellIs" dxfId="664" priority="211" operator="equal">
      <formula>"Media"</formula>
    </cfRule>
    <cfRule type="cellIs" dxfId="663" priority="212" operator="equal">
      <formula>"Baja"</formula>
    </cfRule>
    <cfRule type="cellIs" dxfId="662" priority="213" operator="equal">
      <formula>"Muy Baja"</formula>
    </cfRule>
  </conditionalFormatting>
  <conditionalFormatting sqref="N99:N100">
    <cfRule type="cellIs" dxfId="661" priority="998" operator="equal">
      <formula>"Extremo"</formula>
    </cfRule>
    <cfRule type="cellIs" dxfId="660" priority="999" operator="equal">
      <formula>"Alto"</formula>
    </cfRule>
    <cfRule type="cellIs" dxfId="659" priority="1000" operator="equal">
      <formula>"Moderado"</formula>
    </cfRule>
    <cfRule type="cellIs" dxfId="658" priority="1001" operator="equal">
      <formula>"Bajo"</formula>
    </cfRule>
  </conditionalFormatting>
  <conditionalFormatting sqref="Y99:Y100 Y102:Y105">
    <cfRule type="cellIs" dxfId="657" priority="993" operator="equal">
      <formula>"Muy Alta"</formula>
    </cfRule>
    <cfRule type="cellIs" dxfId="656" priority="994" operator="equal">
      <formula>"Alta"</formula>
    </cfRule>
    <cfRule type="cellIs" dxfId="655" priority="995" operator="equal">
      <formula>"Media"</formula>
    </cfRule>
    <cfRule type="cellIs" dxfId="654" priority="996" operator="equal">
      <formula>"Baja"</formula>
    </cfRule>
    <cfRule type="cellIs" dxfId="653" priority="997" operator="equal">
      <formula>"Muy Baja"</formula>
    </cfRule>
  </conditionalFormatting>
  <conditionalFormatting sqref="AA99:AA100 AA102:AA105">
    <cfRule type="cellIs" dxfId="652" priority="988" operator="equal">
      <formula>"Catastrófico"</formula>
    </cfRule>
    <cfRule type="cellIs" dxfId="651" priority="989" operator="equal">
      <formula>"Mayor"</formula>
    </cfRule>
    <cfRule type="cellIs" dxfId="650" priority="990" operator="equal">
      <formula>"Moderado"</formula>
    </cfRule>
    <cfRule type="cellIs" dxfId="649" priority="991" operator="equal">
      <formula>"Menor"</formula>
    </cfRule>
    <cfRule type="cellIs" dxfId="648" priority="992" operator="equal">
      <formula>"Leve"</formula>
    </cfRule>
  </conditionalFormatting>
  <conditionalFormatting sqref="AC99:AC100 AC102:AC105">
    <cfRule type="cellIs" dxfId="647" priority="984" operator="equal">
      <formula>"Extremo"</formula>
    </cfRule>
    <cfRule type="cellIs" dxfId="646" priority="985" operator="equal">
      <formula>"Alto"</formula>
    </cfRule>
    <cfRule type="cellIs" dxfId="645" priority="986" operator="equal">
      <formula>"Moderado"</formula>
    </cfRule>
    <cfRule type="cellIs" dxfId="644" priority="987" operator="equal">
      <formula>"Bajo"</formula>
    </cfRule>
  </conditionalFormatting>
  <conditionalFormatting sqref="H287">
    <cfRule type="cellIs" dxfId="643" priority="118" operator="equal">
      <formula>"Muy Alta"</formula>
    </cfRule>
    <cfRule type="cellIs" dxfId="642" priority="119" operator="equal">
      <formula>"Alta"</formula>
    </cfRule>
    <cfRule type="cellIs" dxfId="641" priority="120" operator="equal">
      <formula>"Media"</formula>
    </cfRule>
    <cfRule type="cellIs" dxfId="640" priority="121" operator="equal">
      <formula>"Baja"</formula>
    </cfRule>
    <cfRule type="cellIs" dxfId="639" priority="122" operator="equal">
      <formula>"Muy Baja"</formula>
    </cfRule>
  </conditionalFormatting>
  <conditionalFormatting sqref="L287">
    <cfRule type="cellIs" dxfId="638" priority="113" operator="equal">
      <formula>"Catastrófico"</formula>
    </cfRule>
    <cfRule type="cellIs" dxfId="637" priority="114" operator="equal">
      <formula>"Mayor"</formula>
    </cfRule>
    <cfRule type="cellIs" dxfId="636" priority="115" operator="equal">
      <formula>"Moderado"</formula>
    </cfRule>
    <cfRule type="cellIs" dxfId="635" priority="116" operator="equal">
      <formula>"Menor"</formula>
    </cfRule>
    <cfRule type="cellIs" dxfId="634" priority="117" operator="equal">
      <formula>"Leve"</formula>
    </cfRule>
  </conditionalFormatting>
  <conditionalFormatting sqref="N287">
    <cfRule type="cellIs" dxfId="633" priority="109" operator="equal">
      <formula>"Extremo"</formula>
    </cfRule>
    <cfRule type="cellIs" dxfId="632" priority="110" operator="equal">
      <formula>"Alto"</formula>
    </cfRule>
    <cfRule type="cellIs" dxfId="631" priority="111" operator="equal">
      <formula>"Moderado"</formula>
    </cfRule>
    <cfRule type="cellIs" dxfId="630" priority="112" operator="equal">
      <formula>"Bajo"</formula>
    </cfRule>
  </conditionalFormatting>
  <conditionalFormatting sqref="Y287 Y289:Y292">
    <cfRule type="cellIs" dxfId="629" priority="104" operator="equal">
      <formula>"Muy Alta"</formula>
    </cfRule>
    <cfRule type="cellIs" dxfId="628" priority="105" operator="equal">
      <formula>"Alta"</formula>
    </cfRule>
    <cfRule type="cellIs" dxfId="627" priority="106" operator="equal">
      <formula>"Media"</formula>
    </cfRule>
    <cfRule type="cellIs" dxfId="626" priority="107" operator="equal">
      <formula>"Baja"</formula>
    </cfRule>
    <cfRule type="cellIs" dxfId="625" priority="108" operator="equal">
      <formula>"Muy Baja"</formula>
    </cfRule>
  </conditionalFormatting>
  <conditionalFormatting sqref="H212">
    <cfRule type="cellIs" dxfId="624" priority="396" operator="equal">
      <formula>"Muy Alta"</formula>
    </cfRule>
    <cfRule type="cellIs" dxfId="623" priority="397" operator="equal">
      <formula>"Alta"</formula>
    </cfRule>
    <cfRule type="cellIs" dxfId="622" priority="398" operator="equal">
      <formula>"Media"</formula>
    </cfRule>
    <cfRule type="cellIs" dxfId="621" priority="399" operator="equal">
      <formula>"Baja"</formula>
    </cfRule>
    <cfRule type="cellIs" dxfId="620" priority="400" operator="equal">
      <formula>"Muy Baja"</formula>
    </cfRule>
  </conditionalFormatting>
  <conditionalFormatting sqref="K93:K105">
    <cfRule type="containsText" dxfId="619" priority="813" operator="containsText" text="❌">
      <formula>NOT(ISERROR(SEARCH("❌",K93)))</formula>
    </cfRule>
  </conditionalFormatting>
  <conditionalFormatting sqref="H106:H107">
    <cfRule type="cellIs" dxfId="618" priority="808" operator="equal">
      <formula>"Muy Alta"</formula>
    </cfRule>
    <cfRule type="cellIs" dxfId="617" priority="809" operator="equal">
      <formula>"Alta"</formula>
    </cfRule>
    <cfRule type="cellIs" dxfId="616" priority="810" operator="equal">
      <formula>"Media"</formula>
    </cfRule>
    <cfRule type="cellIs" dxfId="615" priority="811" operator="equal">
      <formula>"Baja"</formula>
    </cfRule>
    <cfRule type="cellIs" dxfId="614" priority="812" operator="equal">
      <formula>"Muy Baja"</formula>
    </cfRule>
  </conditionalFormatting>
  <conditionalFormatting sqref="L106:L107">
    <cfRule type="cellIs" dxfId="613" priority="803" operator="equal">
      <formula>"Catastrófico"</formula>
    </cfRule>
    <cfRule type="cellIs" dxfId="612" priority="804" operator="equal">
      <formula>"Mayor"</formula>
    </cfRule>
    <cfRule type="cellIs" dxfId="611" priority="805" operator="equal">
      <formula>"Moderado"</formula>
    </cfRule>
    <cfRule type="cellIs" dxfId="610" priority="806" operator="equal">
      <formula>"Menor"</formula>
    </cfRule>
    <cfRule type="cellIs" dxfId="609" priority="807" operator="equal">
      <formula>"Leve"</formula>
    </cfRule>
  </conditionalFormatting>
  <conditionalFormatting sqref="N106:N107">
    <cfRule type="cellIs" dxfId="608" priority="799" operator="equal">
      <formula>"Extremo"</formula>
    </cfRule>
    <cfRule type="cellIs" dxfId="607" priority="800" operator="equal">
      <formula>"Alto"</formula>
    </cfRule>
    <cfRule type="cellIs" dxfId="606" priority="801" operator="equal">
      <formula>"Moderado"</formula>
    </cfRule>
    <cfRule type="cellIs" dxfId="605" priority="802" operator="equal">
      <formula>"Bajo"</formula>
    </cfRule>
  </conditionalFormatting>
  <conditionalFormatting sqref="Y106 Y110">
    <cfRule type="cellIs" dxfId="604" priority="794" operator="equal">
      <formula>"Muy Alta"</formula>
    </cfRule>
    <cfRule type="cellIs" dxfId="603" priority="795" operator="equal">
      <formula>"Alta"</formula>
    </cfRule>
    <cfRule type="cellIs" dxfId="602" priority="796" operator="equal">
      <formula>"Media"</formula>
    </cfRule>
    <cfRule type="cellIs" dxfId="601" priority="797" operator="equal">
      <formula>"Baja"</formula>
    </cfRule>
    <cfRule type="cellIs" dxfId="600" priority="798" operator="equal">
      <formula>"Muy Baja"</formula>
    </cfRule>
  </conditionalFormatting>
  <conditionalFormatting sqref="AA106 AA110">
    <cfRule type="cellIs" dxfId="599" priority="789" operator="equal">
      <formula>"Catastrófico"</formula>
    </cfRule>
    <cfRule type="cellIs" dxfId="598" priority="790" operator="equal">
      <formula>"Mayor"</formula>
    </cfRule>
    <cfRule type="cellIs" dxfId="597" priority="791" operator="equal">
      <formula>"Moderado"</formula>
    </cfRule>
    <cfRule type="cellIs" dxfId="596" priority="792" operator="equal">
      <formula>"Menor"</formula>
    </cfRule>
    <cfRule type="cellIs" dxfId="595" priority="793" operator="equal">
      <formula>"Leve"</formula>
    </cfRule>
  </conditionalFormatting>
  <conditionalFormatting sqref="AC106 AC110">
    <cfRule type="cellIs" dxfId="594" priority="785" operator="equal">
      <formula>"Extremo"</formula>
    </cfRule>
    <cfRule type="cellIs" dxfId="593" priority="786" operator="equal">
      <formula>"Alto"</formula>
    </cfRule>
    <cfRule type="cellIs" dxfId="592" priority="787" operator="equal">
      <formula>"Moderado"</formula>
    </cfRule>
    <cfRule type="cellIs" dxfId="591" priority="788" operator="equal">
      <formula>"Bajo"</formula>
    </cfRule>
  </conditionalFormatting>
  <conditionalFormatting sqref="K106:K113">
    <cfRule type="containsText" dxfId="590" priority="784" operator="containsText" text="❌">
      <formula>NOT(ISERROR(SEARCH("❌",K106)))</formula>
    </cfRule>
  </conditionalFormatting>
  <conditionalFormatting sqref="H122 H128">
    <cfRule type="cellIs" dxfId="589" priority="779" operator="equal">
      <formula>"Muy Alta"</formula>
    </cfRule>
    <cfRule type="cellIs" dxfId="588" priority="780" operator="equal">
      <formula>"Alta"</formula>
    </cfRule>
    <cfRule type="cellIs" dxfId="587" priority="781" operator="equal">
      <formula>"Media"</formula>
    </cfRule>
    <cfRule type="cellIs" dxfId="586" priority="782" operator="equal">
      <formula>"Baja"</formula>
    </cfRule>
    <cfRule type="cellIs" dxfId="585" priority="783" operator="equal">
      <formula>"Muy Baja"</formula>
    </cfRule>
  </conditionalFormatting>
  <conditionalFormatting sqref="L122 L128">
    <cfRule type="cellIs" dxfId="584" priority="774" operator="equal">
      <formula>"Catastrófico"</formula>
    </cfRule>
    <cfRule type="cellIs" dxfId="583" priority="775" operator="equal">
      <formula>"Mayor"</formula>
    </cfRule>
    <cfRule type="cellIs" dxfId="582" priority="776" operator="equal">
      <formula>"Moderado"</formula>
    </cfRule>
    <cfRule type="cellIs" dxfId="581" priority="777" operator="equal">
      <formula>"Menor"</formula>
    </cfRule>
    <cfRule type="cellIs" dxfId="580" priority="778" operator="equal">
      <formula>"Leve"</formula>
    </cfRule>
  </conditionalFormatting>
  <conditionalFormatting sqref="N122">
    <cfRule type="cellIs" dxfId="579" priority="770" operator="equal">
      <formula>"Extremo"</formula>
    </cfRule>
    <cfRule type="cellIs" dxfId="578" priority="771" operator="equal">
      <formula>"Alto"</formula>
    </cfRule>
    <cfRule type="cellIs" dxfId="577" priority="772" operator="equal">
      <formula>"Moderado"</formula>
    </cfRule>
    <cfRule type="cellIs" dxfId="576" priority="773" operator="equal">
      <formula>"Bajo"</formula>
    </cfRule>
  </conditionalFormatting>
  <conditionalFormatting sqref="Y122 Y124:Y127">
    <cfRule type="cellIs" dxfId="575" priority="765" operator="equal">
      <formula>"Muy Alta"</formula>
    </cfRule>
    <cfRule type="cellIs" dxfId="574" priority="766" operator="equal">
      <formula>"Alta"</formula>
    </cfRule>
    <cfRule type="cellIs" dxfId="573" priority="767" operator="equal">
      <formula>"Media"</formula>
    </cfRule>
    <cfRule type="cellIs" dxfId="572" priority="768" operator="equal">
      <formula>"Baja"</formula>
    </cfRule>
    <cfRule type="cellIs" dxfId="571" priority="769" operator="equal">
      <formula>"Muy Baja"</formula>
    </cfRule>
  </conditionalFormatting>
  <conditionalFormatting sqref="AA122 AA124:AA127">
    <cfRule type="cellIs" dxfId="570" priority="760" operator="equal">
      <formula>"Catastrófico"</formula>
    </cfRule>
    <cfRule type="cellIs" dxfId="569" priority="761" operator="equal">
      <formula>"Mayor"</formula>
    </cfRule>
    <cfRule type="cellIs" dxfId="568" priority="762" operator="equal">
      <formula>"Moderado"</formula>
    </cfRule>
    <cfRule type="cellIs" dxfId="567" priority="763" operator="equal">
      <formula>"Menor"</formula>
    </cfRule>
    <cfRule type="cellIs" dxfId="566" priority="764" operator="equal">
      <formula>"Leve"</formula>
    </cfRule>
  </conditionalFormatting>
  <conditionalFormatting sqref="AC122 AC124:AC127">
    <cfRule type="cellIs" dxfId="565" priority="756" operator="equal">
      <formula>"Extremo"</formula>
    </cfRule>
    <cfRule type="cellIs" dxfId="564" priority="757" operator="equal">
      <formula>"Alto"</formula>
    </cfRule>
    <cfRule type="cellIs" dxfId="563" priority="758" operator="equal">
      <formula>"Moderado"</formula>
    </cfRule>
    <cfRule type="cellIs" dxfId="562" priority="759" operator="equal">
      <formula>"Bajo"</formula>
    </cfRule>
  </conditionalFormatting>
  <conditionalFormatting sqref="N128">
    <cfRule type="cellIs" dxfId="561" priority="752" operator="equal">
      <formula>"Extremo"</formula>
    </cfRule>
    <cfRule type="cellIs" dxfId="560" priority="753" operator="equal">
      <formula>"Alto"</formula>
    </cfRule>
    <cfRule type="cellIs" dxfId="559" priority="754" operator="equal">
      <formula>"Moderado"</formula>
    </cfRule>
    <cfRule type="cellIs" dxfId="558" priority="755" operator="equal">
      <formula>"Bajo"</formula>
    </cfRule>
  </conditionalFormatting>
  <conditionalFormatting sqref="Y128 Y130:Y133">
    <cfRule type="cellIs" dxfId="557" priority="747" operator="equal">
      <formula>"Muy Alta"</formula>
    </cfRule>
    <cfRule type="cellIs" dxfId="556" priority="748" operator="equal">
      <formula>"Alta"</formula>
    </cfRule>
    <cfRule type="cellIs" dxfId="555" priority="749" operator="equal">
      <formula>"Media"</formula>
    </cfRule>
    <cfRule type="cellIs" dxfId="554" priority="750" operator="equal">
      <formula>"Baja"</formula>
    </cfRule>
    <cfRule type="cellIs" dxfId="553" priority="751" operator="equal">
      <formula>"Muy Baja"</formula>
    </cfRule>
  </conditionalFormatting>
  <conditionalFormatting sqref="AA128 AA130:AA133">
    <cfRule type="cellIs" dxfId="552" priority="742" operator="equal">
      <formula>"Catastrófico"</formula>
    </cfRule>
    <cfRule type="cellIs" dxfId="551" priority="743" operator="equal">
      <formula>"Mayor"</formula>
    </cfRule>
    <cfRule type="cellIs" dxfId="550" priority="744" operator="equal">
      <formula>"Moderado"</formula>
    </cfRule>
    <cfRule type="cellIs" dxfId="549" priority="745" operator="equal">
      <formula>"Menor"</formula>
    </cfRule>
    <cfRule type="cellIs" dxfId="548" priority="746" operator="equal">
      <formula>"Leve"</formula>
    </cfRule>
  </conditionalFormatting>
  <conditionalFormatting sqref="AC128 AC130:AC133">
    <cfRule type="cellIs" dxfId="547" priority="738" operator="equal">
      <formula>"Extremo"</formula>
    </cfRule>
    <cfRule type="cellIs" dxfId="546" priority="739" operator="equal">
      <formula>"Alto"</formula>
    </cfRule>
    <cfRule type="cellIs" dxfId="545" priority="740" operator="equal">
      <formula>"Moderado"</formula>
    </cfRule>
    <cfRule type="cellIs" dxfId="544" priority="741" operator="equal">
      <formula>"Bajo"</formula>
    </cfRule>
  </conditionalFormatting>
  <conditionalFormatting sqref="K122:K133">
    <cfRule type="containsText" dxfId="543" priority="737" operator="containsText" text="❌">
      <formula>NOT(ISERROR(SEARCH("❌",K122)))</formula>
    </cfRule>
  </conditionalFormatting>
  <conditionalFormatting sqref="H144 H150">
    <cfRule type="cellIs" dxfId="542" priority="732" operator="equal">
      <formula>"Muy Alta"</formula>
    </cfRule>
    <cfRule type="cellIs" dxfId="541" priority="733" operator="equal">
      <formula>"Alta"</formula>
    </cfRule>
    <cfRule type="cellIs" dxfId="540" priority="734" operator="equal">
      <formula>"Media"</formula>
    </cfRule>
    <cfRule type="cellIs" dxfId="539" priority="735" operator="equal">
      <formula>"Baja"</formula>
    </cfRule>
    <cfRule type="cellIs" dxfId="538" priority="736" operator="equal">
      <formula>"Muy Baja"</formula>
    </cfRule>
  </conditionalFormatting>
  <conditionalFormatting sqref="L144 L150">
    <cfRule type="cellIs" dxfId="537" priority="727" operator="equal">
      <formula>"Catastrófico"</formula>
    </cfRule>
    <cfRule type="cellIs" dxfId="536" priority="728" operator="equal">
      <formula>"Mayor"</formula>
    </cfRule>
    <cfRule type="cellIs" dxfId="535" priority="729" operator="equal">
      <formula>"Moderado"</formula>
    </cfRule>
    <cfRule type="cellIs" dxfId="534" priority="730" operator="equal">
      <formula>"Menor"</formula>
    </cfRule>
    <cfRule type="cellIs" dxfId="533" priority="731" operator="equal">
      <formula>"Leve"</formula>
    </cfRule>
  </conditionalFormatting>
  <conditionalFormatting sqref="N144">
    <cfRule type="cellIs" dxfId="532" priority="723" operator="equal">
      <formula>"Extremo"</formula>
    </cfRule>
    <cfRule type="cellIs" dxfId="531" priority="724" operator="equal">
      <formula>"Alto"</formula>
    </cfRule>
    <cfRule type="cellIs" dxfId="530" priority="725" operator="equal">
      <formula>"Moderado"</formula>
    </cfRule>
    <cfRule type="cellIs" dxfId="529" priority="726" operator="equal">
      <formula>"Bajo"</formula>
    </cfRule>
  </conditionalFormatting>
  <conditionalFormatting sqref="Y144 Y146:Y149">
    <cfRule type="cellIs" dxfId="528" priority="718" operator="equal">
      <formula>"Muy Alta"</formula>
    </cfRule>
    <cfRule type="cellIs" dxfId="527" priority="719" operator="equal">
      <formula>"Alta"</formula>
    </cfRule>
    <cfRule type="cellIs" dxfId="526" priority="720" operator="equal">
      <formula>"Media"</formula>
    </cfRule>
    <cfRule type="cellIs" dxfId="525" priority="721" operator="equal">
      <formula>"Baja"</formula>
    </cfRule>
    <cfRule type="cellIs" dxfId="524" priority="722" operator="equal">
      <formula>"Muy Baja"</formula>
    </cfRule>
  </conditionalFormatting>
  <conditionalFormatting sqref="AA144 AA146:AA149">
    <cfRule type="cellIs" dxfId="523" priority="713" operator="equal">
      <formula>"Catastrófico"</formula>
    </cfRule>
    <cfRule type="cellIs" dxfId="522" priority="714" operator="equal">
      <formula>"Mayor"</formula>
    </cfRule>
    <cfRule type="cellIs" dxfId="521" priority="715" operator="equal">
      <formula>"Moderado"</formula>
    </cfRule>
    <cfRule type="cellIs" dxfId="520" priority="716" operator="equal">
      <formula>"Menor"</formula>
    </cfRule>
    <cfRule type="cellIs" dxfId="519" priority="717" operator="equal">
      <formula>"Leve"</formula>
    </cfRule>
  </conditionalFormatting>
  <conditionalFormatting sqref="AC144 AC146:AC149">
    <cfRule type="cellIs" dxfId="518" priority="709" operator="equal">
      <formula>"Extremo"</formula>
    </cfRule>
    <cfRule type="cellIs" dxfId="517" priority="710" operator="equal">
      <formula>"Alto"</formula>
    </cfRule>
    <cfRule type="cellIs" dxfId="516" priority="711" operator="equal">
      <formula>"Moderado"</formula>
    </cfRule>
    <cfRule type="cellIs" dxfId="515" priority="712" operator="equal">
      <formula>"Bajo"</formula>
    </cfRule>
  </conditionalFormatting>
  <conditionalFormatting sqref="N150">
    <cfRule type="cellIs" dxfId="514" priority="705" operator="equal">
      <formula>"Extremo"</formula>
    </cfRule>
    <cfRule type="cellIs" dxfId="513" priority="706" operator="equal">
      <formula>"Alto"</formula>
    </cfRule>
    <cfRule type="cellIs" dxfId="512" priority="707" operator="equal">
      <formula>"Moderado"</formula>
    </cfRule>
    <cfRule type="cellIs" dxfId="511" priority="708" operator="equal">
      <formula>"Bajo"</formula>
    </cfRule>
  </conditionalFormatting>
  <conditionalFormatting sqref="Y150 Y152:Y155">
    <cfRule type="cellIs" dxfId="510" priority="700" operator="equal">
      <formula>"Muy Alta"</formula>
    </cfRule>
    <cfRule type="cellIs" dxfId="509" priority="701" operator="equal">
      <formula>"Alta"</formula>
    </cfRule>
    <cfRule type="cellIs" dxfId="508" priority="702" operator="equal">
      <formula>"Media"</formula>
    </cfRule>
    <cfRule type="cellIs" dxfId="507" priority="703" operator="equal">
      <formula>"Baja"</formula>
    </cfRule>
    <cfRule type="cellIs" dxfId="506" priority="704" operator="equal">
      <formula>"Muy Baja"</formula>
    </cfRule>
  </conditionalFormatting>
  <conditionalFormatting sqref="AA150 AA152:AA155">
    <cfRule type="cellIs" dxfId="505" priority="695" operator="equal">
      <formula>"Catastrófico"</formula>
    </cfRule>
    <cfRule type="cellIs" dxfId="504" priority="696" operator="equal">
      <formula>"Mayor"</formula>
    </cfRule>
    <cfRule type="cellIs" dxfId="503" priority="697" operator="equal">
      <formula>"Moderado"</formula>
    </cfRule>
    <cfRule type="cellIs" dxfId="502" priority="698" operator="equal">
      <formula>"Menor"</formula>
    </cfRule>
    <cfRule type="cellIs" dxfId="501" priority="699" operator="equal">
      <formula>"Leve"</formula>
    </cfRule>
  </conditionalFormatting>
  <conditionalFormatting sqref="AC150 AC152:AC155">
    <cfRule type="cellIs" dxfId="500" priority="691" operator="equal">
      <formula>"Extremo"</formula>
    </cfRule>
    <cfRule type="cellIs" dxfId="499" priority="692" operator="equal">
      <formula>"Alto"</formula>
    </cfRule>
    <cfRule type="cellIs" dxfId="498" priority="693" operator="equal">
      <formula>"Moderado"</formula>
    </cfRule>
    <cfRule type="cellIs" dxfId="497" priority="694" operator="equal">
      <formula>"Bajo"</formula>
    </cfRule>
  </conditionalFormatting>
  <conditionalFormatting sqref="K144:K155">
    <cfRule type="containsText" dxfId="496" priority="690" operator="containsText" text="❌">
      <formula>NOT(ISERROR(SEARCH("❌",K144)))</formula>
    </cfRule>
  </conditionalFormatting>
  <conditionalFormatting sqref="H165 H171">
    <cfRule type="cellIs" dxfId="495" priority="685" operator="equal">
      <formula>"Muy Alta"</formula>
    </cfRule>
    <cfRule type="cellIs" dxfId="494" priority="686" operator="equal">
      <formula>"Alta"</formula>
    </cfRule>
    <cfRule type="cellIs" dxfId="493" priority="687" operator="equal">
      <formula>"Media"</formula>
    </cfRule>
    <cfRule type="cellIs" dxfId="492" priority="688" operator="equal">
      <formula>"Baja"</formula>
    </cfRule>
    <cfRule type="cellIs" dxfId="491" priority="689" operator="equal">
      <formula>"Muy Baja"</formula>
    </cfRule>
  </conditionalFormatting>
  <conditionalFormatting sqref="L165 L171">
    <cfRule type="cellIs" dxfId="490" priority="680" operator="equal">
      <formula>"Catastrófico"</formula>
    </cfRule>
    <cfRule type="cellIs" dxfId="489" priority="681" operator="equal">
      <formula>"Mayor"</formula>
    </cfRule>
    <cfRule type="cellIs" dxfId="488" priority="682" operator="equal">
      <formula>"Moderado"</formula>
    </cfRule>
    <cfRule type="cellIs" dxfId="487" priority="683" operator="equal">
      <formula>"Menor"</formula>
    </cfRule>
    <cfRule type="cellIs" dxfId="486" priority="684" operator="equal">
      <formula>"Leve"</formula>
    </cfRule>
  </conditionalFormatting>
  <conditionalFormatting sqref="N165">
    <cfRule type="cellIs" dxfId="485" priority="676" operator="equal">
      <formula>"Extremo"</formula>
    </cfRule>
    <cfRule type="cellIs" dxfId="484" priority="677" operator="equal">
      <formula>"Alto"</formula>
    </cfRule>
    <cfRule type="cellIs" dxfId="483" priority="678" operator="equal">
      <formula>"Moderado"</formula>
    </cfRule>
    <cfRule type="cellIs" dxfId="482" priority="679" operator="equal">
      <formula>"Bajo"</formula>
    </cfRule>
  </conditionalFormatting>
  <conditionalFormatting sqref="Y165 Y167:Y170">
    <cfRule type="cellIs" dxfId="481" priority="671" operator="equal">
      <formula>"Muy Alta"</formula>
    </cfRule>
    <cfRule type="cellIs" dxfId="480" priority="672" operator="equal">
      <formula>"Alta"</formula>
    </cfRule>
    <cfRule type="cellIs" dxfId="479" priority="673" operator="equal">
      <formula>"Media"</formula>
    </cfRule>
    <cfRule type="cellIs" dxfId="478" priority="674" operator="equal">
      <formula>"Baja"</formula>
    </cfRule>
    <cfRule type="cellIs" dxfId="477" priority="675" operator="equal">
      <formula>"Muy Baja"</formula>
    </cfRule>
  </conditionalFormatting>
  <conditionalFormatting sqref="AA165 AA167:AA170">
    <cfRule type="cellIs" dxfId="476" priority="666" operator="equal">
      <formula>"Catastrófico"</formula>
    </cfRule>
    <cfRule type="cellIs" dxfId="475" priority="667" operator="equal">
      <formula>"Mayor"</formula>
    </cfRule>
    <cfRule type="cellIs" dxfId="474" priority="668" operator="equal">
      <formula>"Moderado"</formula>
    </cfRule>
    <cfRule type="cellIs" dxfId="473" priority="669" operator="equal">
      <formula>"Menor"</formula>
    </cfRule>
    <cfRule type="cellIs" dxfId="472" priority="670" operator="equal">
      <formula>"Leve"</formula>
    </cfRule>
  </conditionalFormatting>
  <conditionalFormatting sqref="AC165 AC167:AC170">
    <cfRule type="cellIs" dxfId="471" priority="662" operator="equal">
      <formula>"Extremo"</formula>
    </cfRule>
    <cfRule type="cellIs" dxfId="470" priority="663" operator="equal">
      <formula>"Alto"</formula>
    </cfRule>
    <cfRule type="cellIs" dxfId="469" priority="664" operator="equal">
      <formula>"Moderado"</formula>
    </cfRule>
    <cfRule type="cellIs" dxfId="468" priority="665" operator="equal">
      <formula>"Bajo"</formula>
    </cfRule>
  </conditionalFormatting>
  <conditionalFormatting sqref="N171">
    <cfRule type="cellIs" dxfId="467" priority="658" operator="equal">
      <formula>"Extremo"</formula>
    </cfRule>
    <cfRule type="cellIs" dxfId="466" priority="659" operator="equal">
      <formula>"Alto"</formula>
    </cfRule>
    <cfRule type="cellIs" dxfId="465" priority="660" operator="equal">
      <formula>"Moderado"</formula>
    </cfRule>
    <cfRule type="cellIs" dxfId="464" priority="661" operator="equal">
      <formula>"Bajo"</formula>
    </cfRule>
  </conditionalFormatting>
  <conditionalFormatting sqref="Y173:Y176">
    <cfRule type="cellIs" dxfId="463" priority="653" operator="equal">
      <formula>"Muy Alta"</formula>
    </cfRule>
    <cfRule type="cellIs" dxfId="462" priority="654" operator="equal">
      <formula>"Alta"</formula>
    </cfRule>
    <cfRule type="cellIs" dxfId="461" priority="655" operator="equal">
      <formula>"Media"</formula>
    </cfRule>
    <cfRule type="cellIs" dxfId="460" priority="656" operator="equal">
      <formula>"Baja"</formula>
    </cfRule>
    <cfRule type="cellIs" dxfId="459" priority="657" operator="equal">
      <formula>"Muy Baja"</formula>
    </cfRule>
  </conditionalFormatting>
  <conditionalFormatting sqref="AA171 AA173:AA176">
    <cfRule type="cellIs" dxfId="458" priority="648" operator="equal">
      <formula>"Catastrófico"</formula>
    </cfRule>
    <cfRule type="cellIs" dxfId="457" priority="649" operator="equal">
      <formula>"Mayor"</formula>
    </cfRule>
    <cfRule type="cellIs" dxfId="456" priority="650" operator="equal">
      <formula>"Moderado"</formula>
    </cfRule>
    <cfRule type="cellIs" dxfId="455" priority="651" operator="equal">
      <formula>"Menor"</formula>
    </cfRule>
    <cfRule type="cellIs" dxfId="454" priority="652" operator="equal">
      <formula>"Leve"</formula>
    </cfRule>
  </conditionalFormatting>
  <conditionalFormatting sqref="AC171 AC173:AC176">
    <cfRule type="cellIs" dxfId="453" priority="644" operator="equal">
      <formula>"Extremo"</formula>
    </cfRule>
    <cfRule type="cellIs" dxfId="452" priority="645" operator="equal">
      <formula>"Alto"</formula>
    </cfRule>
    <cfRule type="cellIs" dxfId="451" priority="646" operator="equal">
      <formula>"Moderado"</formula>
    </cfRule>
    <cfRule type="cellIs" dxfId="450" priority="647" operator="equal">
      <formula>"Bajo"</formula>
    </cfRule>
  </conditionalFormatting>
  <conditionalFormatting sqref="K165:K176">
    <cfRule type="containsText" dxfId="449" priority="643" operator="containsText" text="❌">
      <formula>NOT(ISERROR(SEARCH("❌",K165)))</formula>
    </cfRule>
  </conditionalFormatting>
  <conditionalFormatting sqref="Y171">
    <cfRule type="cellIs" dxfId="448" priority="638" operator="equal">
      <formula>"Muy Alta"</formula>
    </cfRule>
    <cfRule type="cellIs" dxfId="447" priority="639" operator="equal">
      <formula>"Alta"</formula>
    </cfRule>
    <cfRule type="cellIs" dxfId="446" priority="640" operator="equal">
      <formula>"Media"</formula>
    </cfRule>
    <cfRule type="cellIs" dxfId="445" priority="641" operator="equal">
      <formula>"Baja"</formula>
    </cfRule>
    <cfRule type="cellIs" dxfId="444" priority="642" operator="equal">
      <formula>"Muy Baja"</formula>
    </cfRule>
  </conditionalFormatting>
  <conditionalFormatting sqref="H185">
    <cfRule type="cellIs" dxfId="443" priority="633" operator="equal">
      <formula>"Muy Alta"</formula>
    </cfRule>
    <cfRule type="cellIs" dxfId="442" priority="634" operator="equal">
      <formula>"Alta"</formula>
    </cfRule>
    <cfRule type="cellIs" dxfId="441" priority="635" operator="equal">
      <formula>"Media"</formula>
    </cfRule>
    <cfRule type="cellIs" dxfId="440" priority="636" operator="equal">
      <formula>"Baja"</formula>
    </cfRule>
    <cfRule type="cellIs" dxfId="439" priority="637" operator="equal">
      <formula>"Muy Baja"</formula>
    </cfRule>
  </conditionalFormatting>
  <conditionalFormatting sqref="L185">
    <cfRule type="cellIs" dxfId="438" priority="628" operator="equal">
      <formula>"Catastrófico"</formula>
    </cfRule>
    <cfRule type="cellIs" dxfId="437" priority="629" operator="equal">
      <formula>"Mayor"</formula>
    </cfRule>
    <cfRule type="cellIs" dxfId="436" priority="630" operator="equal">
      <formula>"Moderado"</formula>
    </cfRule>
    <cfRule type="cellIs" dxfId="435" priority="631" operator="equal">
      <formula>"Menor"</formula>
    </cfRule>
    <cfRule type="cellIs" dxfId="434" priority="632" operator="equal">
      <formula>"Leve"</formula>
    </cfRule>
  </conditionalFormatting>
  <conditionalFormatting sqref="N185">
    <cfRule type="cellIs" dxfId="433" priority="624" operator="equal">
      <formula>"Extremo"</formula>
    </cfRule>
    <cfRule type="cellIs" dxfId="432" priority="625" operator="equal">
      <formula>"Alto"</formula>
    </cfRule>
    <cfRule type="cellIs" dxfId="431" priority="626" operator="equal">
      <formula>"Moderado"</formula>
    </cfRule>
    <cfRule type="cellIs" dxfId="430" priority="627" operator="equal">
      <formula>"Bajo"</formula>
    </cfRule>
  </conditionalFormatting>
  <conditionalFormatting sqref="Y185 Y187:Y190">
    <cfRule type="cellIs" dxfId="429" priority="619" operator="equal">
      <formula>"Muy Alta"</formula>
    </cfRule>
    <cfRule type="cellIs" dxfId="428" priority="620" operator="equal">
      <formula>"Alta"</formula>
    </cfRule>
    <cfRule type="cellIs" dxfId="427" priority="621" operator="equal">
      <formula>"Media"</formula>
    </cfRule>
    <cfRule type="cellIs" dxfId="426" priority="622" operator="equal">
      <formula>"Baja"</formula>
    </cfRule>
    <cfRule type="cellIs" dxfId="425" priority="623" operator="equal">
      <formula>"Muy Baja"</formula>
    </cfRule>
  </conditionalFormatting>
  <conditionalFormatting sqref="AA185 AA187:AA190">
    <cfRule type="cellIs" dxfId="424" priority="614" operator="equal">
      <formula>"Catastrófico"</formula>
    </cfRule>
    <cfRule type="cellIs" dxfId="423" priority="615" operator="equal">
      <formula>"Mayor"</formula>
    </cfRule>
    <cfRule type="cellIs" dxfId="422" priority="616" operator="equal">
      <formula>"Moderado"</formula>
    </cfRule>
    <cfRule type="cellIs" dxfId="421" priority="617" operator="equal">
      <formula>"Menor"</formula>
    </cfRule>
    <cfRule type="cellIs" dxfId="420" priority="618" operator="equal">
      <formula>"Leve"</formula>
    </cfRule>
  </conditionalFormatting>
  <conditionalFormatting sqref="AC185 AC187:AC190">
    <cfRule type="cellIs" dxfId="419" priority="610" operator="equal">
      <formula>"Extremo"</formula>
    </cfRule>
    <cfRule type="cellIs" dxfId="418" priority="611" operator="equal">
      <formula>"Alto"</formula>
    </cfRule>
    <cfRule type="cellIs" dxfId="417" priority="612" operator="equal">
      <formula>"Moderado"</formula>
    </cfRule>
    <cfRule type="cellIs" dxfId="416" priority="613" operator="equal">
      <formula>"Bajo"</formula>
    </cfRule>
  </conditionalFormatting>
  <conditionalFormatting sqref="K185:K190">
    <cfRule type="containsText" dxfId="415" priority="609" operator="containsText" text="❌">
      <formula>NOT(ISERROR(SEARCH("❌",K185)))</formula>
    </cfRule>
  </conditionalFormatting>
  <conditionalFormatting sqref="H200 H206">
    <cfRule type="cellIs" dxfId="414" priority="604" operator="equal">
      <formula>"Muy Alta"</formula>
    </cfRule>
    <cfRule type="cellIs" dxfId="413" priority="605" operator="equal">
      <formula>"Alta"</formula>
    </cfRule>
    <cfRule type="cellIs" dxfId="412" priority="606" operator="equal">
      <formula>"Media"</formula>
    </cfRule>
    <cfRule type="cellIs" dxfId="411" priority="607" operator="equal">
      <formula>"Baja"</formula>
    </cfRule>
    <cfRule type="cellIs" dxfId="410" priority="608" operator="equal">
      <formula>"Muy Baja"</formula>
    </cfRule>
  </conditionalFormatting>
  <conditionalFormatting sqref="L200 L206 L218">
    <cfRule type="cellIs" dxfId="409" priority="599" operator="equal">
      <formula>"Catastrófico"</formula>
    </cfRule>
    <cfRule type="cellIs" dxfId="408" priority="600" operator="equal">
      <formula>"Mayor"</formula>
    </cfRule>
    <cfRule type="cellIs" dxfId="407" priority="601" operator="equal">
      <formula>"Moderado"</formula>
    </cfRule>
    <cfRule type="cellIs" dxfId="406" priority="602" operator="equal">
      <formula>"Menor"</formula>
    </cfRule>
    <cfRule type="cellIs" dxfId="405" priority="603" operator="equal">
      <formula>"Leve"</formula>
    </cfRule>
  </conditionalFormatting>
  <conditionalFormatting sqref="N200">
    <cfRule type="cellIs" dxfId="404" priority="595" operator="equal">
      <formula>"Extremo"</formula>
    </cfRule>
    <cfRule type="cellIs" dxfId="403" priority="596" operator="equal">
      <formula>"Alto"</formula>
    </cfRule>
    <cfRule type="cellIs" dxfId="402" priority="597" operator="equal">
      <formula>"Moderado"</formula>
    </cfRule>
    <cfRule type="cellIs" dxfId="401" priority="598" operator="equal">
      <formula>"Bajo"</formula>
    </cfRule>
  </conditionalFormatting>
  <conditionalFormatting sqref="Y200 Y202:Y205">
    <cfRule type="cellIs" dxfId="400" priority="590" operator="equal">
      <formula>"Muy Alta"</formula>
    </cfRule>
    <cfRule type="cellIs" dxfId="399" priority="591" operator="equal">
      <formula>"Alta"</formula>
    </cfRule>
    <cfRule type="cellIs" dxfId="398" priority="592" operator="equal">
      <formula>"Media"</formula>
    </cfRule>
    <cfRule type="cellIs" dxfId="397" priority="593" operator="equal">
      <formula>"Baja"</formula>
    </cfRule>
    <cfRule type="cellIs" dxfId="396" priority="594" operator="equal">
      <formula>"Muy Baja"</formula>
    </cfRule>
  </conditionalFormatting>
  <conditionalFormatting sqref="AA200 AA202:AA205">
    <cfRule type="cellIs" dxfId="395" priority="585" operator="equal">
      <formula>"Catastrófico"</formula>
    </cfRule>
    <cfRule type="cellIs" dxfId="394" priority="586" operator="equal">
      <formula>"Mayor"</formula>
    </cfRule>
    <cfRule type="cellIs" dxfId="393" priority="587" operator="equal">
      <formula>"Moderado"</formula>
    </cfRule>
    <cfRule type="cellIs" dxfId="392" priority="588" operator="equal">
      <formula>"Menor"</formula>
    </cfRule>
    <cfRule type="cellIs" dxfId="391" priority="589" operator="equal">
      <formula>"Leve"</formula>
    </cfRule>
  </conditionalFormatting>
  <conditionalFormatting sqref="AC200 AC202:AC205">
    <cfRule type="cellIs" dxfId="390" priority="581" operator="equal">
      <formula>"Extremo"</formula>
    </cfRule>
    <cfRule type="cellIs" dxfId="389" priority="582" operator="equal">
      <formula>"Alto"</formula>
    </cfRule>
    <cfRule type="cellIs" dxfId="388" priority="583" operator="equal">
      <formula>"Moderado"</formula>
    </cfRule>
    <cfRule type="cellIs" dxfId="387" priority="584" operator="equal">
      <formula>"Bajo"</formula>
    </cfRule>
  </conditionalFormatting>
  <conditionalFormatting sqref="Y244 Y246:Y249">
    <cfRule type="cellIs" dxfId="386" priority="279" operator="equal">
      <formula>"Muy Alta"</formula>
    </cfRule>
    <cfRule type="cellIs" dxfId="385" priority="280" operator="equal">
      <formula>"Alta"</formula>
    </cfRule>
    <cfRule type="cellIs" dxfId="384" priority="281" operator="equal">
      <formula>"Media"</formula>
    </cfRule>
    <cfRule type="cellIs" dxfId="383" priority="282" operator="equal">
      <formula>"Baja"</formula>
    </cfRule>
    <cfRule type="cellIs" dxfId="382" priority="283" operator="equal">
      <formula>"Muy Baja"</formula>
    </cfRule>
  </conditionalFormatting>
  <conditionalFormatting sqref="N206">
    <cfRule type="cellIs" dxfId="381" priority="577" operator="equal">
      <formula>"Extremo"</formula>
    </cfRule>
    <cfRule type="cellIs" dxfId="380" priority="578" operator="equal">
      <formula>"Alto"</formula>
    </cfRule>
    <cfRule type="cellIs" dxfId="379" priority="579" operator="equal">
      <formula>"Moderado"</formula>
    </cfRule>
    <cfRule type="cellIs" dxfId="378" priority="580" operator="equal">
      <formula>"Bajo"</formula>
    </cfRule>
  </conditionalFormatting>
  <conditionalFormatting sqref="Y206 Y208:Y211">
    <cfRule type="cellIs" dxfId="377" priority="572" operator="equal">
      <formula>"Muy Alta"</formula>
    </cfRule>
    <cfRule type="cellIs" dxfId="376" priority="573" operator="equal">
      <formula>"Alta"</formula>
    </cfRule>
    <cfRule type="cellIs" dxfId="375" priority="574" operator="equal">
      <formula>"Media"</formula>
    </cfRule>
    <cfRule type="cellIs" dxfId="374" priority="575" operator="equal">
      <formula>"Baja"</formula>
    </cfRule>
    <cfRule type="cellIs" dxfId="373" priority="576" operator="equal">
      <formula>"Muy Baja"</formula>
    </cfRule>
  </conditionalFormatting>
  <conditionalFormatting sqref="AA206 AA208:AA211">
    <cfRule type="cellIs" dxfId="372" priority="567" operator="equal">
      <formula>"Catastrófico"</formula>
    </cfRule>
    <cfRule type="cellIs" dxfId="371" priority="568" operator="equal">
      <formula>"Mayor"</formula>
    </cfRule>
    <cfRule type="cellIs" dxfId="370" priority="569" operator="equal">
      <formula>"Moderado"</formula>
    </cfRule>
    <cfRule type="cellIs" dxfId="369" priority="570" operator="equal">
      <formula>"Menor"</formula>
    </cfRule>
    <cfRule type="cellIs" dxfId="368" priority="571" operator="equal">
      <formula>"Leve"</formula>
    </cfRule>
  </conditionalFormatting>
  <conditionalFormatting sqref="AC206 AC208:AC211">
    <cfRule type="cellIs" dxfId="367" priority="563" operator="equal">
      <formula>"Extremo"</formula>
    </cfRule>
    <cfRule type="cellIs" dxfId="366" priority="564" operator="equal">
      <formula>"Alto"</formula>
    </cfRule>
    <cfRule type="cellIs" dxfId="365" priority="565" operator="equal">
      <formula>"Moderado"</formula>
    </cfRule>
    <cfRule type="cellIs" dxfId="364" priority="566" operator="equal">
      <formula>"Bajo"</formula>
    </cfRule>
  </conditionalFormatting>
  <conditionalFormatting sqref="Y214:Y217">
    <cfRule type="cellIs" dxfId="363" priority="558" operator="equal">
      <formula>"Muy Alta"</formula>
    </cfRule>
    <cfRule type="cellIs" dxfId="362" priority="559" operator="equal">
      <formula>"Alta"</formula>
    </cfRule>
    <cfRule type="cellIs" dxfId="361" priority="560" operator="equal">
      <formula>"Media"</formula>
    </cfRule>
    <cfRule type="cellIs" dxfId="360" priority="561" operator="equal">
      <formula>"Baja"</formula>
    </cfRule>
    <cfRule type="cellIs" dxfId="359" priority="562" operator="equal">
      <formula>"Muy Baja"</formula>
    </cfRule>
  </conditionalFormatting>
  <conditionalFormatting sqref="AA214:AA217">
    <cfRule type="cellIs" dxfId="358" priority="553" operator="equal">
      <formula>"Catastrófico"</formula>
    </cfRule>
    <cfRule type="cellIs" dxfId="357" priority="554" operator="equal">
      <formula>"Mayor"</formula>
    </cfRule>
    <cfRule type="cellIs" dxfId="356" priority="555" operator="equal">
      <formula>"Moderado"</formula>
    </cfRule>
    <cfRule type="cellIs" dxfId="355" priority="556" operator="equal">
      <formula>"Menor"</formula>
    </cfRule>
    <cfRule type="cellIs" dxfId="354" priority="557" operator="equal">
      <formula>"Leve"</formula>
    </cfRule>
  </conditionalFormatting>
  <conditionalFormatting sqref="AC214:AC217">
    <cfRule type="cellIs" dxfId="353" priority="549" operator="equal">
      <formula>"Extremo"</formula>
    </cfRule>
    <cfRule type="cellIs" dxfId="352" priority="550" operator="equal">
      <formula>"Alto"</formula>
    </cfRule>
    <cfRule type="cellIs" dxfId="351" priority="551" operator="equal">
      <formula>"Moderado"</formula>
    </cfRule>
    <cfRule type="cellIs" dxfId="350" priority="552" operator="equal">
      <formula>"Bajo"</formula>
    </cfRule>
  </conditionalFormatting>
  <conditionalFormatting sqref="N218">
    <cfRule type="cellIs" dxfId="349" priority="545" operator="equal">
      <formula>"Extremo"</formula>
    </cfRule>
    <cfRule type="cellIs" dxfId="348" priority="546" operator="equal">
      <formula>"Alto"</formula>
    </cfRule>
    <cfRule type="cellIs" dxfId="347" priority="547" operator="equal">
      <formula>"Moderado"</formula>
    </cfRule>
    <cfRule type="cellIs" dxfId="346" priority="548" operator="equal">
      <formula>"Bajo"</formula>
    </cfRule>
  </conditionalFormatting>
  <conditionalFormatting sqref="Y218 Y220:Y223">
    <cfRule type="cellIs" dxfId="345" priority="540" operator="equal">
      <formula>"Muy Alta"</formula>
    </cfRule>
    <cfRule type="cellIs" dxfId="344" priority="541" operator="equal">
      <formula>"Alta"</formula>
    </cfRule>
    <cfRule type="cellIs" dxfId="343" priority="542" operator="equal">
      <formula>"Media"</formula>
    </cfRule>
    <cfRule type="cellIs" dxfId="342" priority="543" operator="equal">
      <formula>"Baja"</formula>
    </cfRule>
    <cfRule type="cellIs" dxfId="341" priority="544" operator="equal">
      <formula>"Muy Baja"</formula>
    </cfRule>
  </conditionalFormatting>
  <conditionalFormatting sqref="AA218 AA220:AA223">
    <cfRule type="cellIs" dxfId="340" priority="535" operator="equal">
      <formula>"Catastrófico"</formula>
    </cfRule>
    <cfRule type="cellIs" dxfId="339" priority="536" operator="equal">
      <formula>"Mayor"</formula>
    </cfRule>
    <cfRule type="cellIs" dxfId="338" priority="537" operator="equal">
      <formula>"Moderado"</formula>
    </cfRule>
    <cfRule type="cellIs" dxfId="337" priority="538" operator="equal">
      <formula>"Menor"</formula>
    </cfRule>
    <cfRule type="cellIs" dxfId="336" priority="539" operator="equal">
      <formula>"Leve"</formula>
    </cfRule>
  </conditionalFormatting>
  <conditionalFormatting sqref="AC218 AC220:AC223">
    <cfRule type="cellIs" dxfId="335" priority="531" operator="equal">
      <formula>"Extremo"</formula>
    </cfRule>
    <cfRule type="cellIs" dxfId="334" priority="532" operator="equal">
      <formula>"Alto"</formula>
    </cfRule>
    <cfRule type="cellIs" dxfId="333" priority="533" operator="equal">
      <formula>"Moderado"</formula>
    </cfRule>
    <cfRule type="cellIs" dxfId="332" priority="534" operator="equal">
      <formula>"Bajo"</formula>
    </cfRule>
  </conditionalFormatting>
  <conditionalFormatting sqref="Y226:Y229">
    <cfRule type="cellIs" dxfId="331" priority="526" operator="equal">
      <formula>"Muy Alta"</formula>
    </cfRule>
    <cfRule type="cellIs" dxfId="330" priority="527" operator="equal">
      <formula>"Alta"</formula>
    </cfRule>
    <cfRule type="cellIs" dxfId="329" priority="528" operator="equal">
      <formula>"Media"</formula>
    </cfRule>
    <cfRule type="cellIs" dxfId="328" priority="529" operator="equal">
      <formula>"Baja"</formula>
    </cfRule>
    <cfRule type="cellIs" dxfId="327" priority="530" operator="equal">
      <formula>"Muy Baja"</formula>
    </cfRule>
  </conditionalFormatting>
  <conditionalFormatting sqref="AA224:AA229">
    <cfRule type="cellIs" dxfId="326" priority="521" operator="equal">
      <formula>"Catastrófico"</formula>
    </cfRule>
    <cfRule type="cellIs" dxfId="325" priority="522" operator="equal">
      <formula>"Mayor"</formula>
    </cfRule>
    <cfRule type="cellIs" dxfId="324" priority="523" operator="equal">
      <formula>"Moderado"</formula>
    </cfRule>
    <cfRule type="cellIs" dxfId="323" priority="524" operator="equal">
      <formula>"Menor"</formula>
    </cfRule>
    <cfRule type="cellIs" dxfId="322" priority="525" operator="equal">
      <formula>"Leve"</formula>
    </cfRule>
  </conditionalFormatting>
  <conditionalFormatting sqref="AC224:AC229">
    <cfRule type="cellIs" dxfId="321" priority="517" operator="equal">
      <formula>"Extremo"</formula>
    </cfRule>
    <cfRule type="cellIs" dxfId="320" priority="518" operator="equal">
      <formula>"Alto"</formula>
    </cfRule>
    <cfRule type="cellIs" dxfId="319" priority="519" operator="equal">
      <formula>"Moderado"</formula>
    </cfRule>
    <cfRule type="cellIs" dxfId="318" priority="520" operator="equal">
      <formula>"Bajo"</formula>
    </cfRule>
  </conditionalFormatting>
  <conditionalFormatting sqref="Y225">
    <cfRule type="cellIs" dxfId="317" priority="316" operator="equal">
      <formula>"Muy Alta"</formula>
    </cfRule>
    <cfRule type="cellIs" dxfId="316" priority="317" operator="equal">
      <formula>"Alta"</formula>
    </cfRule>
    <cfRule type="cellIs" dxfId="315" priority="318" operator="equal">
      <formula>"Media"</formula>
    </cfRule>
    <cfRule type="cellIs" dxfId="314" priority="319" operator="equal">
      <formula>"Baja"</formula>
    </cfRule>
    <cfRule type="cellIs" dxfId="313" priority="320" operator="equal">
      <formula>"Muy Baja"</formula>
    </cfRule>
  </conditionalFormatting>
  <conditionalFormatting sqref="N244">
    <cfRule type="cellIs" dxfId="312" priority="284" operator="equal">
      <formula>"Extremo"</formula>
    </cfRule>
    <cfRule type="cellIs" dxfId="311" priority="285" operator="equal">
      <formula>"Alto"</formula>
    </cfRule>
    <cfRule type="cellIs" dxfId="310" priority="286" operator="equal">
      <formula>"Moderado"</formula>
    </cfRule>
    <cfRule type="cellIs" dxfId="309" priority="287" operator="equal">
      <formula>"Bajo"</formula>
    </cfRule>
  </conditionalFormatting>
  <conditionalFormatting sqref="AC276">
    <cfRule type="cellIs" dxfId="308" priority="124" operator="equal">
      <formula>"Extremo"</formula>
    </cfRule>
    <cfRule type="cellIs" dxfId="307" priority="125" operator="equal">
      <formula>"Alto"</formula>
    </cfRule>
    <cfRule type="cellIs" dxfId="306" priority="126" operator="equal">
      <formula>"Moderado"</formula>
    </cfRule>
    <cfRule type="cellIs" dxfId="305" priority="127" operator="equal">
      <formula>"Bajo"</formula>
    </cfRule>
  </conditionalFormatting>
  <conditionalFormatting sqref="N256">
    <cfRule type="cellIs" dxfId="304" priority="252" operator="equal">
      <formula>"Extremo"</formula>
    </cfRule>
    <cfRule type="cellIs" dxfId="303" priority="253" operator="equal">
      <formula>"Alto"</formula>
    </cfRule>
    <cfRule type="cellIs" dxfId="302" priority="254" operator="equal">
      <formula>"Moderado"</formula>
    </cfRule>
    <cfRule type="cellIs" dxfId="301" priority="255" operator="equal">
      <formula>"Bajo"</formula>
    </cfRule>
  </conditionalFormatting>
  <conditionalFormatting sqref="Y256 Y258:Y261">
    <cfRule type="cellIs" dxfId="300" priority="247" operator="equal">
      <formula>"Muy Alta"</formula>
    </cfRule>
    <cfRule type="cellIs" dxfId="299" priority="248" operator="equal">
      <formula>"Alta"</formula>
    </cfRule>
    <cfRule type="cellIs" dxfId="298" priority="249" operator="equal">
      <formula>"Media"</formula>
    </cfRule>
    <cfRule type="cellIs" dxfId="297" priority="250" operator="equal">
      <formula>"Baja"</formula>
    </cfRule>
    <cfRule type="cellIs" dxfId="296" priority="251" operator="equal">
      <formula>"Muy Baja"</formula>
    </cfRule>
  </conditionalFormatting>
  <conditionalFormatting sqref="AA256 AA258:AA261">
    <cfRule type="cellIs" dxfId="295" priority="242" operator="equal">
      <formula>"Catastrófico"</formula>
    </cfRule>
    <cfRule type="cellIs" dxfId="294" priority="243" operator="equal">
      <formula>"Mayor"</formula>
    </cfRule>
    <cfRule type="cellIs" dxfId="293" priority="244" operator="equal">
      <formula>"Moderado"</formula>
    </cfRule>
    <cfRule type="cellIs" dxfId="292" priority="245" operator="equal">
      <formula>"Menor"</formula>
    </cfRule>
    <cfRule type="cellIs" dxfId="291" priority="246" operator="equal">
      <formula>"Leve"</formula>
    </cfRule>
  </conditionalFormatting>
  <conditionalFormatting sqref="AC256 AC258:AC261">
    <cfRule type="cellIs" dxfId="290" priority="238" operator="equal">
      <formula>"Extremo"</formula>
    </cfRule>
    <cfRule type="cellIs" dxfId="289" priority="239" operator="equal">
      <formula>"Alto"</formula>
    </cfRule>
    <cfRule type="cellIs" dxfId="288" priority="240" operator="equal">
      <formula>"Moderado"</formula>
    </cfRule>
    <cfRule type="cellIs" dxfId="287" priority="241" operator="equal">
      <formula>"Bajo"</formula>
    </cfRule>
  </conditionalFormatting>
  <conditionalFormatting sqref="K200:K229">
    <cfRule type="containsText" dxfId="286" priority="401" operator="containsText" text="❌">
      <formula>NOT(ISERROR(SEARCH("❌",K200)))</formula>
    </cfRule>
  </conditionalFormatting>
  <conditionalFormatting sqref="L212">
    <cfRule type="cellIs" dxfId="285" priority="391" operator="equal">
      <formula>"Catastrófico"</formula>
    </cfRule>
    <cfRule type="cellIs" dxfId="284" priority="392" operator="equal">
      <formula>"Mayor"</formula>
    </cfRule>
    <cfRule type="cellIs" dxfId="283" priority="393" operator="equal">
      <formula>"Moderado"</formula>
    </cfRule>
    <cfRule type="cellIs" dxfId="282" priority="394" operator="equal">
      <formula>"Menor"</formula>
    </cfRule>
    <cfRule type="cellIs" dxfId="281" priority="395" operator="equal">
      <formula>"Leve"</formula>
    </cfRule>
  </conditionalFormatting>
  <conditionalFormatting sqref="N212">
    <cfRule type="cellIs" dxfId="280" priority="387" operator="equal">
      <formula>"Extremo"</formula>
    </cfRule>
    <cfRule type="cellIs" dxfId="279" priority="388" operator="equal">
      <formula>"Alto"</formula>
    </cfRule>
    <cfRule type="cellIs" dxfId="278" priority="389" operator="equal">
      <formula>"Moderado"</formula>
    </cfRule>
    <cfRule type="cellIs" dxfId="277" priority="390" operator="equal">
      <formula>"Bajo"</formula>
    </cfRule>
  </conditionalFormatting>
  <conditionalFormatting sqref="Y212">
    <cfRule type="cellIs" dxfId="276" priority="382" operator="equal">
      <formula>"Muy Alta"</formula>
    </cfRule>
    <cfRule type="cellIs" dxfId="275" priority="383" operator="equal">
      <formula>"Alta"</formula>
    </cfRule>
    <cfRule type="cellIs" dxfId="274" priority="384" operator="equal">
      <formula>"Media"</formula>
    </cfRule>
    <cfRule type="cellIs" dxfId="273" priority="385" operator="equal">
      <formula>"Baja"</formula>
    </cfRule>
    <cfRule type="cellIs" dxfId="272" priority="386" operator="equal">
      <formula>"Muy Baja"</formula>
    </cfRule>
  </conditionalFormatting>
  <conditionalFormatting sqref="AA212">
    <cfRule type="cellIs" dxfId="271" priority="377" operator="equal">
      <formula>"Catastrófico"</formula>
    </cfRule>
    <cfRule type="cellIs" dxfId="270" priority="378" operator="equal">
      <formula>"Mayor"</formula>
    </cfRule>
    <cfRule type="cellIs" dxfId="269" priority="379" operator="equal">
      <formula>"Moderado"</formula>
    </cfRule>
    <cfRule type="cellIs" dxfId="268" priority="380" operator="equal">
      <formula>"Menor"</formula>
    </cfRule>
    <cfRule type="cellIs" dxfId="267" priority="381" operator="equal">
      <formula>"Leve"</formula>
    </cfRule>
  </conditionalFormatting>
  <conditionalFormatting sqref="AC212">
    <cfRule type="cellIs" dxfId="266" priority="373" operator="equal">
      <formula>"Extremo"</formula>
    </cfRule>
    <cfRule type="cellIs" dxfId="265" priority="374" operator="equal">
      <formula>"Alto"</formula>
    </cfRule>
    <cfRule type="cellIs" dxfId="264" priority="375" operator="equal">
      <formula>"Moderado"</formula>
    </cfRule>
    <cfRule type="cellIs" dxfId="263" priority="376" operator="equal">
      <formula>"Bajo"</formula>
    </cfRule>
  </conditionalFormatting>
  <conditionalFormatting sqref="H218">
    <cfRule type="cellIs" dxfId="262" priority="368" operator="equal">
      <formula>"Muy Alta"</formula>
    </cfRule>
    <cfRule type="cellIs" dxfId="261" priority="369" operator="equal">
      <formula>"Alta"</formula>
    </cfRule>
    <cfRule type="cellIs" dxfId="260" priority="370" operator="equal">
      <formula>"Media"</formula>
    </cfRule>
    <cfRule type="cellIs" dxfId="259" priority="371" operator="equal">
      <formula>"Baja"</formula>
    </cfRule>
    <cfRule type="cellIs" dxfId="258" priority="372" operator="equal">
      <formula>"Muy Baja"</formula>
    </cfRule>
  </conditionalFormatting>
  <conditionalFormatting sqref="Y207">
    <cfRule type="cellIs" dxfId="257" priority="363" operator="equal">
      <formula>"Muy Alta"</formula>
    </cfRule>
    <cfRule type="cellIs" dxfId="256" priority="364" operator="equal">
      <formula>"Alta"</formula>
    </cfRule>
    <cfRule type="cellIs" dxfId="255" priority="365" operator="equal">
      <formula>"Media"</formula>
    </cfRule>
    <cfRule type="cellIs" dxfId="254" priority="366" operator="equal">
      <formula>"Baja"</formula>
    </cfRule>
    <cfRule type="cellIs" dxfId="253" priority="367" operator="equal">
      <formula>"Muy Baja"</formula>
    </cfRule>
  </conditionalFormatting>
  <conditionalFormatting sqref="AA207">
    <cfRule type="cellIs" dxfId="252" priority="358" operator="equal">
      <formula>"Catastrófico"</formula>
    </cfRule>
    <cfRule type="cellIs" dxfId="251" priority="359" operator="equal">
      <formula>"Mayor"</formula>
    </cfRule>
    <cfRule type="cellIs" dxfId="250" priority="360" operator="equal">
      <formula>"Moderado"</formula>
    </cfRule>
    <cfRule type="cellIs" dxfId="249" priority="361" operator="equal">
      <formula>"Menor"</formula>
    </cfRule>
    <cfRule type="cellIs" dxfId="248" priority="362" operator="equal">
      <formula>"Leve"</formula>
    </cfRule>
  </conditionalFormatting>
  <conditionalFormatting sqref="AC207">
    <cfRule type="cellIs" dxfId="247" priority="354" operator="equal">
      <formula>"Extremo"</formula>
    </cfRule>
    <cfRule type="cellIs" dxfId="246" priority="355" operator="equal">
      <formula>"Alto"</formula>
    </cfRule>
    <cfRule type="cellIs" dxfId="245" priority="356" operator="equal">
      <formula>"Moderado"</formula>
    </cfRule>
    <cfRule type="cellIs" dxfId="244" priority="357" operator="equal">
      <formula>"Bajo"</formula>
    </cfRule>
  </conditionalFormatting>
  <conditionalFormatting sqref="Y219">
    <cfRule type="cellIs" dxfId="243" priority="349" operator="equal">
      <formula>"Muy Alta"</formula>
    </cfRule>
    <cfRule type="cellIs" dxfId="242" priority="350" operator="equal">
      <formula>"Alta"</formula>
    </cfRule>
    <cfRule type="cellIs" dxfId="241" priority="351" operator="equal">
      <formula>"Media"</formula>
    </cfRule>
    <cfRule type="cellIs" dxfId="240" priority="352" operator="equal">
      <formula>"Baja"</formula>
    </cfRule>
    <cfRule type="cellIs" dxfId="239" priority="353" operator="equal">
      <formula>"Muy Baja"</formula>
    </cfRule>
  </conditionalFormatting>
  <conditionalFormatting sqref="AA219">
    <cfRule type="cellIs" dxfId="238" priority="344" operator="equal">
      <formula>"Catastrófico"</formula>
    </cfRule>
    <cfRule type="cellIs" dxfId="237" priority="345" operator="equal">
      <formula>"Mayor"</formula>
    </cfRule>
    <cfRule type="cellIs" dxfId="236" priority="346" operator="equal">
      <formula>"Moderado"</formula>
    </cfRule>
    <cfRule type="cellIs" dxfId="235" priority="347" operator="equal">
      <formula>"Menor"</formula>
    </cfRule>
    <cfRule type="cellIs" dxfId="234" priority="348" operator="equal">
      <formula>"Leve"</formula>
    </cfRule>
  </conditionalFormatting>
  <conditionalFormatting sqref="AC219">
    <cfRule type="cellIs" dxfId="233" priority="340" operator="equal">
      <formula>"Extremo"</formula>
    </cfRule>
    <cfRule type="cellIs" dxfId="232" priority="341" operator="equal">
      <formula>"Alto"</formula>
    </cfRule>
    <cfRule type="cellIs" dxfId="231" priority="342" operator="equal">
      <formula>"Moderado"</formula>
    </cfRule>
    <cfRule type="cellIs" dxfId="230" priority="343" operator="equal">
      <formula>"Bajo"</formula>
    </cfRule>
  </conditionalFormatting>
  <conditionalFormatting sqref="H224">
    <cfRule type="cellIs" dxfId="229" priority="335" operator="equal">
      <formula>"Muy Alta"</formula>
    </cfRule>
    <cfRule type="cellIs" dxfId="228" priority="336" operator="equal">
      <formula>"Alta"</formula>
    </cfRule>
    <cfRule type="cellIs" dxfId="227" priority="337" operator="equal">
      <formula>"Media"</formula>
    </cfRule>
    <cfRule type="cellIs" dxfId="226" priority="338" operator="equal">
      <formula>"Baja"</formula>
    </cfRule>
    <cfRule type="cellIs" dxfId="225" priority="339" operator="equal">
      <formula>"Muy Baja"</formula>
    </cfRule>
  </conditionalFormatting>
  <conditionalFormatting sqref="L224">
    <cfRule type="cellIs" dxfId="224" priority="330" operator="equal">
      <formula>"Catastrófico"</formula>
    </cfRule>
    <cfRule type="cellIs" dxfId="223" priority="331" operator="equal">
      <formula>"Mayor"</formula>
    </cfRule>
    <cfRule type="cellIs" dxfId="222" priority="332" operator="equal">
      <formula>"Moderado"</formula>
    </cfRule>
    <cfRule type="cellIs" dxfId="221" priority="333" operator="equal">
      <formula>"Menor"</formula>
    </cfRule>
    <cfRule type="cellIs" dxfId="220" priority="334" operator="equal">
      <formula>"Leve"</formula>
    </cfRule>
  </conditionalFormatting>
  <conditionalFormatting sqref="N224">
    <cfRule type="cellIs" dxfId="219" priority="326" operator="equal">
      <formula>"Extremo"</formula>
    </cfRule>
    <cfRule type="cellIs" dxfId="218" priority="327" operator="equal">
      <formula>"Alto"</formula>
    </cfRule>
    <cfRule type="cellIs" dxfId="217" priority="328" operator="equal">
      <formula>"Moderado"</formula>
    </cfRule>
    <cfRule type="cellIs" dxfId="216" priority="329" operator="equal">
      <formula>"Bajo"</formula>
    </cfRule>
  </conditionalFormatting>
  <conditionalFormatting sqref="Y224">
    <cfRule type="cellIs" dxfId="215" priority="321" operator="equal">
      <formula>"Muy Alta"</formula>
    </cfRule>
    <cfRule type="cellIs" dxfId="214" priority="322" operator="equal">
      <formula>"Alta"</formula>
    </cfRule>
    <cfRule type="cellIs" dxfId="213" priority="323" operator="equal">
      <formula>"Media"</formula>
    </cfRule>
    <cfRule type="cellIs" dxfId="212" priority="324" operator="equal">
      <formula>"Baja"</formula>
    </cfRule>
    <cfRule type="cellIs" dxfId="211" priority="325" operator="equal">
      <formula>"Muy Baja"</formula>
    </cfRule>
  </conditionalFormatting>
  <conditionalFormatting sqref="H238 H244">
    <cfRule type="cellIs" dxfId="210" priority="311" operator="equal">
      <formula>"Muy Alta"</formula>
    </cfRule>
    <cfRule type="cellIs" dxfId="209" priority="312" operator="equal">
      <formula>"Alta"</formula>
    </cfRule>
    <cfRule type="cellIs" dxfId="208" priority="313" operator="equal">
      <formula>"Media"</formula>
    </cfRule>
    <cfRule type="cellIs" dxfId="207" priority="314" operator="equal">
      <formula>"Baja"</formula>
    </cfRule>
    <cfRule type="cellIs" dxfId="206" priority="315" operator="equal">
      <formula>"Muy Baja"</formula>
    </cfRule>
  </conditionalFormatting>
  <conditionalFormatting sqref="L238 L244 L256 L262">
    <cfRule type="cellIs" dxfId="205" priority="306" operator="equal">
      <formula>"Catastrófico"</formula>
    </cfRule>
    <cfRule type="cellIs" dxfId="204" priority="307" operator="equal">
      <formula>"Mayor"</formula>
    </cfRule>
    <cfRule type="cellIs" dxfId="203" priority="308" operator="equal">
      <formula>"Moderado"</formula>
    </cfRule>
    <cfRule type="cellIs" dxfId="202" priority="309" operator="equal">
      <formula>"Menor"</formula>
    </cfRule>
    <cfRule type="cellIs" dxfId="201" priority="310" operator="equal">
      <formula>"Leve"</formula>
    </cfRule>
  </conditionalFormatting>
  <conditionalFormatting sqref="N238">
    <cfRule type="cellIs" dxfId="200" priority="302" operator="equal">
      <formula>"Extremo"</formula>
    </cfRule>
    <cfRule type="cellIs" dxfId="199" priority="303" operator="equal">
      <formula>"Alto"</formula>
    </cfRule>
    <cfRule type="cellIs" dxfId="198" priority="304" operator="equal">
      <formula>"Moderado"</formula>
    </cfRule>
    <cfRule type="cellIs" dxfId="197" priority="305" operator="equal">
      <formula>"Bajo"</formula>
    </cfRule>
  </conditionalFormatting>
  <conditionalFormatting sqref="Y238 Y240:Y243">
    <cfRule type="cellIs" dxfId="196" priority="297" operator="equal">
      <formula>"Muy Alta"</formula>
    </cfRule>
    <cfRule type="cellIs" dxfId="195" priority="298" operator="equal">
      <formula>"Alta"</formula>
    </cfRule>
    <cfRule type="cellIs" dxfId="194" priority="299" operator="equal">
      <formula>"Media"</formula>
    </cfRule>
    <cfRule type="cellIs" dxfId="193" priority="300" operator="equal">
      <formula>"Baja"</formula>
    </cfRule>
    <cfRule type="cellIs" dxfId="192" priority="301" operator="equal">
      <formula>"Muy Baja"</formula>
    </cfRule>
  </conditionalFormatting>
  <conditionalFormatting sqref="AA238 AA240:AA243">
    <cfRule type="cellIs" dxfId="191" priority="292" operator="equal">
      <formula>"Catastrófico"</formula>
    </cfRule>
    <cfRule type="cellIs" dxfId="190" priority="293" operator="equal">
      <formula>"Mayor"</formula>
    </cfRule>
    <cfRule type="cellIs" dxfId="189" priority="294" operator="equal">
      <formula>"Moderado"</formula>
    </cfRule>
    <cfRule type="cellIs" dxfId="188" priority="295" operator="equal">
      <formula>"Menor"</formula>
    </cfRule>
    <cfRule type="cellIs" dxfId="187" priority="296" operator="equal">
      <formula>"Leve"</formula>
    </cfRule>
  </conditionalFormatting>
  <conditionalFormatting sqref="AC238 AC240:AC243">
    <cfRule type="cellIs" dxfId="186" priority="288" operator="equal">
      <formula>"Extremo"</formula>
    </cfRule>
    <cfRule type="cellIs" dxfId="185" priority="289" operator="equal">
      <formula>"Alto"</formula>
    </cfRule>
    <cfRule type="cellIs" dxfId="184" priority="290" operator="equal">
      <formula>"Moderado"</formula>
    </cfRule>
    <cfRule type="cellIs" dxfId="183" priority="291" operator="equal">
      <formula>"Bajo"</formula>
    </cfRule>
  </conditionalFormatting>
  <conditionalFormatting sqref="AA244 AA246:AA249">
    <cfRule type="cellIs" dxfId="182" priority="274" operator="equal">
      <formula>"Catastrófico"</formula>
    </cfRule>
    <cfRule type="cellIs" dxfId="181" priority="275" operator="equal">
      <formula>"Mayor"</formula>
    </cfRule>
    <cfRule type="cellIs" dxfId="180" priority="276" operator="equal">
      <formula>"Moderado"</formula>
    </cfRule>
    <cfRule type="cellIs" dxfId="179" priority="277" operator="equal">
      <formula>"Menor"</formula>
    </cfRule>
    <cfRule type="cellIs" dxfId="178" priority="278" operator="equal">
      <formula>"Leve"</formula>
    </cfRule>
  </conditionalFormatting>
  <conditionalFormatting sqref="AC244 AC246:AC249">
    <cfRule type="cellIs" dxfId="177" priority="270" operator="equal">
      <formula>"Extremo"</formula>
    </cfRule>
    <cfRule type="cellIs" dxfId="176" priority="271" operator="equal">
      <formula>"Alto"</formula>
    </cfRule>
    <cfRule type="cellIs" dxfId="175" priority="272" operator="equal">
      <formula>"Moderado"</formula>
    </cfRule>
    <cfRule type="cellIs" dxfId="174" priority="273" operator="equal">
      <formula>"Bajo"</formula>
    </cfRule>
  </conditionalFormatting>
  <conditionalFormatting sqref="Y252:Y255">
    <cfRule type="cellIs" dxfId="173" priority="265" operator="equal">
      <formula>"Muy Alta"</formula>
    </cfRule>
    <cfRule type="cellIs" dxfId="172" priority="266" operator="equal">
      <formula>"Alta"</formula>
    </cfRule>
    <cfRule type="cellIs" dxfId="171" priority="267" operator="equal">
      <formula>"Media"</formula>
    </cfRule>
    <cfRule type="cellIs" dxfId="170" priority="268" operator="equal">
      <formula>"Baja"</formula>
    </cfRule>
    <cfRule type="cellIs" dxfId="169" priority="269" operator="equal">
      <formula>"Muy Baja"</formula>
    </cfRule>
  </conditionalFormatting>
  <conditionalFormatting sqref="AA252:AA255">
    <cfRule type="cellIs" dxfId="168" priority="260" operator="equal">
      <formula>"Catastrófico"</formula>
    </cfRule>
    <cfRule type="cellIs" dxfId="167" priority="261" operator="equal">
      <formula>"Mayor"</formula>
    </cfRule>
    <cfRule type="cellIs" dxfId="166" priority="262" operator="equal">
      <formula>"Moderado"</formula>
    </cfRule>
    <cfRule type="cellIs" dxfId="165" priority="263" operator="equal">
      <formula>"Menor"</formula>
    </cfRule>
    <cfRule type="cellIs" dxfId="164" priority="264" operator="equal">
      <formula>"Leve"</formula>
    </cfRule>
  </conditionalFormatting>
  <conditionalFormatting sqref="AC252:AC255">
    <cfRule type="cellIs" dxfId="163" priority="256" operator="equal">
      <formula>"Extremo"</formula>
    </cfRule>
    <cfRule type="cellIs" dxfId="162" priority="257" operator="equal">
      <formula>"Alto"</formula>
    </cfRule>
    <cfRule type="cellIs" dxfId="161" priority="258" operator="equal">
      <formula>"Moderado"</formula>
    </cfRule>
    <cfRule type="cellIs" dxfId="160" priority="259" operator="equal">
      <formula>"Bajo"</formula>
    </cfRule>
  </conditionalFormatting>
  <conditionalFormatting sqref="H262">
    <cfRule type="cellIs" dxfId="159" priority="233" operator="equal">
      <formula>"Muy Alta"</formula>
    </cfRule>
    <cfRule type="cellIs" dxfId="158" priority="234" operator="equal">
      <formula>"Alta"</formula>
    </cfRule>
    <cfRule type="cellIs" dxfId="157" priority="235" operator="equal">
      <formula>"Media"</formula>
    </cfRule>
    <cfRule type="cellIs" dxfId="156" priority="236" operator="equal">
      <formula>"Baja"</formula>
    </cfRule>
    <cfRule type="cellIs" dxfId="155" priority="237" operator="equal">
      <formula>"Muy Baja"</formula>
    </cfRule>
  </conditionalFormatting>
  <conditionalFormatting sqref="N262">
    <cfRule type="cellIs" dxfId="154" priority="229" operator="equal">
      <formula>"Extremo"</formula>
    </cfRule>
    <cfRule type="cellIs" dxfId="153" priority="230" operator="equal">
      <formula>"Alto"</formula>
    </cfRule>
    <cfRule type="cellIs" dxfId="152" priority="231" operator="equal">
      <formula>"Moderado"</formula>
    </cfRule>
    <cfRule type="cellIs" dxfId="151" priority="232" operator="equal">
      <formula>"Bajo"</formula>
    </cfRule>
  </conditionalFormatting>
  <conditionalFormatting sqref="Y262:Y267">
    <cfRule type="cellIs" dxfId="150" priority="224" operator="equal">
      <formula>"Muy Alta"</formula>
    </cfRule>
    <cfRule type="cellIs" dxfId="149" priority="225" operator="equal">
      <formula>"Alta"</formula>
    </cfRule>
    <cfRule type="cellIs" dxfId="148" priority="226" operator="equal">
      <formula>"Media"</formula>
    </cfRule>
    <cfRule type="cellIs" dxfId="147" priority="227" operator="equal">
      <formula>"Baja"</formula>
    </cfRule>
    <cfRule type="cellIs" dxfId="146" priority="228" operator="equal">
      <formula>"Muy Baja"</formula>
    </cfRule>
  </conditionalFormatting>
  <conditionalFormatting sqref="AA262:AA267">
    <cfRule type="cellIs" dxfId="145" priority="219" operator="equal">
      <formula>"Catastrófico"</formula>
    </cfRule>
    <cfRule type="cellIs" dxfId="144" priority="220" operator="equal">
      <formula>"Mayor"</formula>
    </cfRule>
    <cfRule type="cellIs" dxfId="143" priority="221" operator="equal">
      <formula>"Moderado"</formula>
    </cfRule>
    <cfRule type="cellIs" dxfId="142" priority="222" operator="equal">
      <formula>"Menor"</formula>
    </cfRule>
    <cfRule type="cellIs" dxfId="141" priority="223" operator="equal">
      <formula>"Leve"</formula>
    </cfRule>
  </conditionalFormatting>
  <conditionalFormatting sqref="AC262:AC267">
    <cfRule type="cellIs" dxfId="140" priority="215" operator="equal">
      <formula>"Extremo"</formula>
    </cfRule>
    <cfRule type="cellIs" dxfId="139" priority="216" operator="equal">
      <formula>"Alto"</formula>
    </cfRule>
    <cfRule type="cellIs" dxfId="138" priority="217" operator="equal">
      <formula>"Moderado"</formula>
    </cfRule>
    <cfRule type="cellIs" dxfId="137" priority="218" operator="equal">
      <formula>"Bajo"</formula>
    </cfRule>
  </conditionalFormatting>
  <conditionalFormatting sqref="K238:K267">
    <cfRule type="containsText" dxfId="136" priority="214" operator="containsText" text="❌">
      <formula>NOT(ISERROR(SEARCH("❌",K238)))</formula>
    </cfRule>
  </conditionalFormatting>
  <conditionalFormatting sqref="L250">
    <cfRule type="cellIs" dxfId="135" priority="204" operator="equal">
      <formula>"Catastrófico"</formula>
    </cfRule>
    <cfRule type="cellIs" dxfId="134" priority="205" operator="equal">
      <formula>"Mayor"</formula>
    </cfRule>
    <cfRule type="cellIs" dxfId="133" priority="206" operator="equal">
      <formula>"Moderado"</formula>
    </cfRule>
    <cfRule type="cellIs" dxfId="132" priority="207" operator="equal">
      <formula>"Menor"</formula>
    </cfRule>
    <cfRule type="cellIs" dxfId="131" priority="208" operator="equal">
      <formula>"Leve"</formula>
    </cfRule>
  </conditionalFormatting>
  <conditionalFormatting sqref="N250">
    <cfRule type="cellIs" dxfId="130" priority="200" operator="equal">
      <formula>"Extremo"</formula>
    </cfRule>
    <cfRule type="cellIs" dxfId="129" priority="201" operator="equal">
      <formula>"Alto"</formula>
    </cfRule>
    <cfRule type="cellIs" dxfId="128" priority="202" operator="equal">
      <formula>"Moderado"</formula>
    </cfRule>
    <cfRule type="cellIs" dxfId="127" priority="203" operator="equal">
      <formula>"Bajo"</formula>
    </cfRule>
  </conditionalFormatting>
  <conditionalFormatting sqref="Y250">
    <cfRule type="cellIs" dxfId="126" priority="195" operator="equal">
      <formula>"Muy Alta"</formula>
    </cfRule>
    <cfRule type="cellIs" dxfId="125" priority="196" operator="equal">
      <formula>"Alta"</formula>
    </cfRule>
    <cfRule type="cellIs" dxfId="124" priority="197" operator="equal">
      <formula>"Media"</formula>
    </cfRule>
    <cfRule type="cellIs" dxfId="123" priority="198" operator="equal">
      <formula>"Baja"</formula>
    </cfRule>
    <cfRule type="cellIs" dxfId="122" priority="199" operator="equal">
      <formula>"Muy Baja"</formula>
    </cfRule>
  </conditionalFormatting>
  <conditionalFormatting sqref="AA250">
    <cfRule type="cellIs" dxfId="121" priority="190" operator="equal">
      <formula>"Catastrófico"</formula>
    </cfRule>
    <cfRule type="cellIs" dxfId="120" priority="191" operator="equal">
      <formula>"Mayor"</formula>
    </cfRule>
    <cfRule type="cellIs" dxfId="119" priority="192" operator="equal">
      <formula>"Moderado"</formula>
    </cfRule>
    <cfRule type="cellIs" dxfId="118" priority="193" operator="equal">
      <formula>"Menor"</formula>
    </cfRule>
    <cfRule type="cellIs" dxfId="117" priority="194" operator="equal">
      <formula>"Leve"</formula>
    </cfRule>
  </conditionalFormatting>
  <conditionalFormatting sqref="AC250">
    <cfRule type="cellIs" dxfId="116" priority="186" operator="equal">
      <formula>"Extremo"</formula>
    </cfRule>
    <cfRule type="cellIs" dxfId="115" priority="187" operator="equal">
      <formula>"Alto"</formula>
    </cfRule>
    <cfRule type="cellIs" dxfId="114" priority="188" operator="equal">
      <formula>"Moderado"</formula>
    </cfRule>
    <cfRule type="cellIs" dxfId="113" priority="189" operator="equal">
      <formula>"Bajo"</formula>
    </cfRule>
  </conditionalFormatting>
  <conditionalFormatting sqref="H256">
    <cfRule type="cellIs" dxfId="112" priority="181" operator="equal">
      <formula>"Muy Alta"</formula>
    </cfRule>
    <cfRule type="cellIs" dxfId="111" priority="182" operator="equal">
      <formula>"Alta"</formula>
    </cfRule>
    <cfRule type="cellIs" dxfId="110" priority="183" operator="equal">
      <formula>"Media"</formula>
    </cfRule>
    <cfRule type="cellIs" dxfId="109" priority="184" operator="equal">
      <formula>"Baja"</formula>
    </cfRule>
    <cfRule type="cellIs" dxfId="108" priority="185" operator="equal">
      <formula>"Muy Baja"</formula>
    </cfRule>
  </conditionalFormatting>
  <conditionalFormatting sqref="H276">
    <cfRule type="cellIs" dxfId="107" priority="147" operator="equal">
      <formula>"Muy Alta"</formula>
    </cfRule>
    <cfRule type="cellIs" dxfId="106" priority="148" operator="equal">
      <formula>"Alta"</formula>
    </cfRule>
    <cfRule type="cellIs" dxfId="105" priority="149" operator="equal">
      <formula>"Media"</formula>
    </cfRule>
    <cfRule type="cellIs" dxfId="104" priority="150" operator="equal">
      <formula>"Baja"</formula>
    </cfRule>
    <cfRule type="cellIs" dxfId="103" priority="151" operator="equal">
      <formula>"Muy Baja"</formula>
    </cfRule>
  </conditionalFormatting>
  <conditionalFormatting sqref="L276">
    <cfRule type="cellIs" dxfId="102" priority="142" operator="equal">
      <formula>"Catastrófico"</formula>
    </cfRule>
    <cfRule type="cellIs" dxfId="101" priority="143" operator="equal">
      <formula>"Mayor"</formula>
    </cfRule>
    <cfRule type="cellIs" dxfId="100" priority="144" operator="equal">
      <formula>"Moderado"</formula>
    </cfRule>
    <cfRule type="cellIs" dxfId="99" priority="145" operator="equal">
      <formula>"Menor"</formula>
    </cfRule>
    <cfRule type="cellIs" dxfId="98" priority="146" operator="equal">
      <formula>"Leve"</formula>
    </cfRule>
  </conditionalFormatting>
  <conditionalFormatting sqref="N276">
    <cfRule type="cellIs" dxfId="97" priority="138" operator="equal">
      <formula>"Extremo"</formula>
    </cfRule>
    <cfRule type="cellIs" dxfId="96" priority="139" operator="equal">
      <formula>"Alto"</formula>
    </cfRule>
    <cfRule type="cellIs" dxfId="95" priority="140" operator="equal">
      <formula>"Moderado"</formula>
    </cfRule>
    <cfRule type="cellIs" dxfId="94" priority="141" operator="equal">
      <formula>"Bajo"</formula>
    </cfRule>
  </conditionalFormatting>
  <conditionalFormatting sqref="Y276">
    <cfRule type="cellIs" dxfId="93" priority="133" operator="equal">
      <formula>"Muy Alta"</formula>
    </cfRule>
    <cfRule type="cellIs" dxfId="92" priority="134" operator="equal">
      <formula>"Alta"</formula>
    </cfRule>
    <cfRule type="cellIs" dxfId="91" priority="135" operator="equal">
      <formula>"Media"</formula>
    </cfRule>
    <cfRule type="cellIs" dxfId="90" priority="136" operator="equal">
      <formula>"Baja"</formula>
    </cfRule>
    <cfRule type="cellIs" dxfId="89" priority="137" operator="equal">
      <formula>"Muy Baja"</formula>
    </cfRule>
  </conditionalFormatting>
  <conditionalFormatting sqref="AA276">
    <cfRule type="cellIs" dxfId="88" priority="128" operator="equal">
      <formula>"Catastrófico"</formula>
    </cfRule>
    <cfRule type="cellIs" dxfId="87" priority="129" operator="equal">
      <formula>"Mayor"</formula>
    </cfRule>
    <cfRule type="cellIs" dxfId="86" priority="130" operator="equal">
      <formula>"Moderado"</formula>
    </cfRule>
    <cfRule type="cellIs" dxfId="85" priority="131" operator="equal">
      <formula>"Menor"</formula>
    </cfRule>
    <cfRule type="cellIs" dxfId="84" priority="132" operator="equal">
      <formula>"Leve"</formula>
    </cfRule>
  </conditionalFormatting>
  <conditionalFormatting sqref="K276:K277">
    <cfRule type="containsText" dxfId="83" priority="123" operator="containsText" text="❌">
      <formula>NOT(ISERROR(SEARCH("❌",K276)))</formula>
    </cfRule>
  </conditionalFormatting>
  <conditionalFormatting sqref="N313">
    <cfRule type="cellIs" dxfId="82" priority="16" operator="equal">
      <formula>"Extremo"</formula>
    </cfRule>
    <cfRule type="cellIs" dxfId="81" priority="17" operator="equal">
      <formula>"Alto"</formula>
    </cfRule>
    <cfRule type="cellIs" dxfId="80" priority="18" operator="equal">
      <formula>"Moderado"</formula>
    </cfRule>
    <cfRule type="cellIs" dxfId="79" priority="19" operator="equal">
      <formula>"Bajo"</formula>
    </cfRule>
  </conditionalFormatting>
  <conditionalFormatting sqref="Y313:Y318">
    <cfRule type="cellIs" dxfId="78" priority="11" operator="equal">
      <formula>"Muy Alta"</formula>
    </cfRule>
    <cfRule type="cellIs" dxfId="77" priority="12" operator="equal">
      <formula>"Alta"</formula>
    </cfRule>
    <cfRule type="cellIs" dxfId="76" priority="13" operator="equal">
      <formula>"Media"</formula>
    </cfRule>
    <cfRule type="cellIs" dxfId="75" priority="14" operator="equal">
      <formula>"Baja"</formula>
    </cfRule>
    <cfRule type="cellIs" dxfId="74" priority="15" operator="equal">
      <formula>"Muy Baja"</formula>
    </cfRule>
  </conditionalFormatting>
  <conditionalFormatting sqref="AA313:AA318">
    <cfRule type="cellIs" dxfId="73" priority="6" operator="equal">
      <formula>"Catastrófico"</formula>
    </cfRule>
    <cfRule type="cellIs" dxfId="72" priority="7" operator="equal">
      <formula>"Mayor"</formula>
    </cfRule>
    <cfRule type="cellIs" dxfId="71" priority="8" operator="equal">
      <formula>"Moderado"</formula>
    </cfRule>
    <cfRule type="cellIs" dxfId="70" priority="9" operator="equal">
      <formula>"Menor"</formula>
    </cfRule>
    <cfRule type="cellIs" dxfId="69" priority="10" operator="equal">
      <formula>"Leve"</formula>
    </cfRule>
  </conditionalFormatting>
  <conditionalFormatting sqref="AC313:AC318">
    <cfRule type="cellIs" dxfId="68" priority="2" operator="equal">
      <formula>"Extremo"</formula>
    </cfRule>
    <cfRule type="cellIs" dxfId="67" priority="3" operator="equal">
      <formula>"Alto"</formula>
    </cfRule>
    <cfRule type="cellIs" dxfId="66" priority="4" operator="equal">
      <formula>"Moderado"</formula>
    </cfRule>
    <cfRule type="cellIs" dxfId="65" priority="5" operator="equal">
      <formula>"Bajo"</formula>
    </cfRule>
  </conditionalFormatting>
  <conditionalFormatting sqref="AA287 AA289:AA292">
    <cfRule type="cellIs" dxfId="64" priority="99" operator="equal">
      <formula>"Catastrófico"</formula>
    </cfRule>
    <cfRule type="cellIs" dxfId="63" priority="100" operator="equal">
      <formula>"Mayor"</formula>
    </cfRule>
    <cfRule type="cellIs" dxfId="62" priority="101" operator="equal">
      <formula>"Moderado"</formula>
    </cfRule>
    <cfRule type="cellIs" dxfId="61" priority="102" operator="equal">
      <formula>"Menor"</formula>
    </cfRule>
    <cfRule type="cellIs" dxfId="60" priority="103" operator="equal">
      <formula>"Leve"</formula>
    </cfRule>
  </conditionalFormatting>
  <conditionalFormatting sqref="AC287 AC289:AC292">
    <cfRule type="cellIs" dxfId="59" priority="95" operator="equal">
      <formula>"Extremo"</formula>
    </cfRule>
    <cfRule type="cellIs" dxfId="58" priority="96" operator="equal">
      <formula>"Alto"</formula>
    </cfRule>
    <cfRule type="cellIs" dxfId="57" priority="97" operator="equal">
      <formula>"Moderado"</formula>
    </cfRule>
    <cfRule type="cellIs" dxfId="56" priority="98" operator="equal">
      <formula>"Bajo"</formula>
    </cfRule>
  </conditionalFormatting>
  <conditionalFormatting sqref="K287:K292">
    <cfRule type="containsText" dxfId="55" priority="94" operator="containsText" text="❌">
      <formula>NOT(ISERROR(SEARCH("❌",K287)))</formula>
    </cfRule>
  </conditionalFormatting>
  <conditionalFormatting sqref="H301 H307">
    <cfRule type="cellIs" dxfId="54" priority="89" operator="equal">
      <formula>"Muy Alta"</formula>
    </cfRule>
    <cfRule type="cellIs" dxfId="53" priority="90" operator="equal">
      <formula>"Alta"</formula>
    </cfRule>
    <cfRule type="cellIs" dxfId="52" priority="91" operator="equal">
      <formula>"Media"</formula>
    </cfRule>
    <cfRule type="cellIs" dxfId="51" priority="92" operator="equal">
      <formula>"Baja"</formula>
    </cfRule>
    <cfRule type="cellIs" dxfId="50" priority="93" operator="equal">
      <formula>"Muy Baja"</formula>
    </cfRule>
  </conditionalFormatting>
  <conditionalFormatting sqref="L301 L307 L313">
    <cfRule type="cellIs" dxfId="49" priority="84" operator="equal">
      <formula>"Catastrófico"</formula>
    </cfRule>
    <cfRule type="cellIs" dxfId="48" priority="85" operator="equal">
      <formula>"Mayor"</formula>
    </cfRule>
    <cfRule type="cellIs" dxfId="47" priority="86" operator="equal">
      <formula>"Moderado"</formula>
    </cfRule>
    <cfRule type="cellIs" dxfId="46" priority="87" operator="equal">
      <formula>"Menor"</formula>
    </cfRule>
    <cfRule type="cellIs" dxfId="45" priority="88" operator="equal">
      <formula>"Leve"</formula>
    </cfRule>
  </conditionalFormatting>
  <conditionalFormatting sqref="N301">
    <cfRule type="cellIs" dxfId="44" priority="80" operator="equal">
      <formula>"Extremo"</formula>
    </cfRule>
    <cfRule type="cellIs" dxfId="43" priority="81" operator="equal">
      <formula>"Alto"</formula>
    </cfRule>
    <cfRule type="cellIs" dxfId="42" priority="82" operator="equal">
      <formula>"Moderado"</formula>
    </cfRule>
    <cfRule type="cellIs" dxfId="41" priority="83" operator="equal">
      <formula>"Bajo"</formula>
    </cfRule>
  </conditionalFormatting>
  <conditionalFormatting sqref="Y301 Y303:Y306">
    <cfRule type="cellIs" dxfId="40" priority="75" operator="equal">
      <formula>"Muy Alta"</formula>
    </cfRule>
    <cfRule type="cellIs" dxfId="39" priority="76" operator="equal">
      <formula>"Alta"</formula>
    </cfRule>
    <cfRule type="cellIs" dxfId="38" priority="77" operator="equal">
      <formula>"Media"</formula>
    </cfRule>
    <cfRule type="cellIs" dxfId="37" priority="78" operator="equal">
      <formula>"Baja"</formula>
    </cfRule>
    <cfRule type="cellIs" dxfId="36" priority="79" operator="equal">
      <formula>"Muy Baja"</formula>
    </cfRule>
  </conditionalFormatting>
  <conditionalFormatting sqref="AA301 AA303:AA306">
    <cfRule type="cellIs" dxfId="35" priority="70" operator="equal">
      <formula>"Catastrófico"</formula>
    </cfRule>
    <cfRule type="cellIs" dxfId="34" priority="71" operator="equal">
      <formula>"Mayor"</formula>
    </cfRule>
    <cfRule type="cellIs" dxfId="33" priority="72" operator="equal">
      <formula>"Moderado"</formula>
    </cfRule>
    <cfRule type="cellIs" dxfId="32" priority="73" operator="equal">
      <formula>"Menor"</formula>
    </cfRule>
    <cfRule type="cellIs" dxfId="31" priority="74" operator="equal">
      <formula>"Leve"</formula>
    </cfRule>
  </conditionalFormatting>
  <conditionalFormatting sqref="AC301 AC303:AC306">
    <cfRule type="cellIs" dxfId="30" priority="66" operator="equal">
      <formula>"Extremo"</formula>
    </cfRule>
    <cfRule type="cellIs" dxfId="29" priority="67" operator="equal">
      <formula>"Alto"</formula>
    </cfRule>
    <cfRule type="cellIs" dxfId="28" priority="68" operator="equal">
      <formula>"Moderado"</formula>
    </cfRule>
    <cfRule type="cellIs" dxfId="27" priority="69" operator="equal">
      <formula>"Bajo"</formula>
    </cfRule>
  </conditionalFormatting>
  <conditionalFormatting sqref="N307">
    <cfRule type="cellIs" dxfId="26" priority="62" operator="equal">
      <formula>"Extremo"</formula>
    </cfRule>
    <cfRule type="cellIs" dxfId="25" priority="63" operator="equal">
      <formula>"Alto"</formula>
    </cfRule>
    <cfRule type="cellIs" dxfId="24" priority="64" operator="equal">
      <formula>"Moderado"</formula>
    </cfRule>
    <cfRule type="cellIs" dxfId="23" priority="65" operator="equal">
      <formula>"Bajo"</formula>
    </cfRule>
  </conditionalFormatting>
  <conditionalFormatting sqref="Y307 Y309:Y312">
    <cfRule type="cellIs" dxfId="22" priority="57" operator="equal">
      <formula>"Muy Alta"</formula>
    </cfRule>
    <cfRule type="cellIs" dxfId="21" priority="58" operator="equal">
      <formula>"Alta"</formula>
    </cfRule>
    <cfRule type="cellIs" dxfId="20" priority="59" operator="equal">
      <formula>"Media"</formula>
    </cfRule>
    <cfRule type="cellIs" dxfId="19" priority="60" operator="equal">
      <formula>"Baja"</formula>
    </cfRule>
    <cfRule type="cellIs" dxfId="18" priority="61" operator="equal">
      <formula>"Muy Baja"</formula>
    </cfRule>
  </conditionalFormatting>
  <conditionalFormatting sqref="AA307 AA309:AA312">
    <cfRule type="cellIs" dxfId="17" priority="52" operator="equal">
      <formula>"Catastrófico"</formula>
    </cfRule>
    <cfRule type="cellIs" dxfId="16" priority="53" operator="equal">
      <formula>"Mayor"</formula>
    </cfRule>
    <cfRule type="cellIs" dxfId="15" priority="54" operator="equal">
      <formula>"Moderado"</formula>
    </cfRule>
    <cfRule type="cellIs" dxfId="14" priority="55" operator="equal">
      <formula>"Menor"</formula>
    </cfRule>
    <cfRule type="cellIs" dxfId="13" priority="56" operator="equal">
      <formula>"Leve"</formula>
    </cfRule>
  </conditionalFormatting>
  <conditionalFormatting sqref="AC307 AC309:AC312">
    <cfRule type="cellIs" dxfId="12" priority="48" operator="equal">
      <formula>"Extremo"</formula>
    </cfRule>
    <cfRule type="cellIs" dxfId="11" priority="49" operator="equal">
      <formula>"Alto"</formula>
    </cfRule>
    <cfRule type="cellIs" dxfId="10" priority="50" operator="equal">
      <formula>"Moderado"</formula>
    </cfRule>
    <cfRule type="cellIs" dxfId="9" priority="51" operator="equal">
      <formula>"Bajo"</formula>
    </cfRule>
  </conditionalFormatting>
  <conditionalFormatting sqref="H313">
    <cfRule type="cellIs" dxfId="8" priority="20" operator="equal">
      <formula>"Muy Alta"</formula>
    </cfRule>
    <cfRule type="cellIs" dxfId="7" priority="21" operator="equal">
      <formula>"Alta"</formula>
    </cfRule>
    <cfRule type="cellIs" dxfId="6" priority="22" operator="equal">
      <formula>"Media"</formula>
    </cfRule>
    <cfRule type="cellIs" dxfId="5" priority="23" operator="equal">
      <formula>"Baja"</formula>
    </cfRule>
    <cfRule type="cellIs" dxfId="4" priority="24" operator="equal">
      <formula>"Muy Baja"</formula>
    </cfRule>
  </conditionalFormatting>
  <pageMargins left="0.70866141732283472" right="0.70866141732283472" top="0.74803149606299213" bottom="0.74803149606299213" header="0.31496062992125984" footer="0.31496062992125984"/>
  <pageSetup scale="34" orientation="landscape" horizontalDpi="4294967295" verticalDpi="4294967295" r:id="rId1"/>
  <ignoredErrors>
    <ignoredError sqref="AB11" formula="1"/>
  </ignoredErrors>
  <extLst>
    <ext xmlns:x14="http://schemas.microsoft.com/office/spreadsheetml/2009/9/main" uri="{CCE6A557-97BC-4b89-ADB6-D9C93CAAB3DF}">
      <x14:dataValidations xmlns:xm="http://schemas.microsoft.com/office/excel/2006/main" count="180">
        <x14:dataValidation type="list" allowBlank="1" showInputMessage="1" showErrorMessage="1">
          <x14:formula1>
            <xm:f>'Tabla Valoración controles'!$D$4:$D$6</xm:f>
          </x14:formula1>
          <xm:sqref>R9 R11:R15 R17:R68</xm:sqref>
        </x14:dataValidation>
        <x14:dataValidation type="list" allowBlank="1" showInputMessage="1" showErrorMessage="1">
          <x14:formula1>
            <xm:f>'Tabla Valoración controles'!$D$7:$D$8</xm:f>
          </x14:formula1>
          <xm:sqref>S9 S11:S15 S17:S68</xm:sqref>
        </x14:dataValidation>
        <x14:dataValidation type="list" allowBlank="1" showInputMessage="1" showErrorMessage="1">
          <x14:formula1>
            <xm:f>'Tabla Valoración controles'!$D$9:$D$10</xm:f>
          </x14:formula1>
          <xm:sqref>U9 U11:U15 U17:U68</xm:sqref>
        </x14:dataValidation>
        <x14:dataValidation type="list" allowBlank="1" showInputMessage="1" showErrorMessage="1">
          <x14:formula1>
            <xm:f>'Tabla Valoración controles'!$D$11:$D$12</xm:f>
          </x14:formula1>
          <xm:sqref>V9 V11:V15 V17:V68</xm:sqref>
        </x14:dataValidation>
        <x14:dataValidation type="list" allowBlank="1" showInputMessage="1" showErrorMessage="1">
          <x14:formula1>
            <xm:f>'Opciones Tratamiento'!$B$9:$B$10</xm:f>
          </x14:formula1>
          <xm:sqref>AJ15 AJ12:AJ13 AJ66:AJ67 AJ18:AJ19 AJ21:AJ22 AJ24:AJ25 AJ27:AJ28 AJ30:AJ31 AJ33:AJ34 AJ36:AJ37 AJ39:AJ40 AJ42:AJ43 AJ45:AJ46 AJ48:AJ49 AJ51:AJ52 AJ54:AJ55 AJ57:AJ58 AJ60:AJ61 AJ63:AJ64 AJ9</xm:sqref>
        </x14:dataValidation>
        <x14:dataValidation type="list" allowBlank="1" showInputMessage="1" showErrorMessage="1">
          <x14:formula1>
            <xm:f>'Tabla Valoración controles'!$D$13:$D$14</xm:f>
          </x14:formula1>
          <xm:sqref>W9 W11:W15 W17:W68</xm:sqref>
        </x14:dataValidation>
        <x14:dataValidation type="list" allowBlank="1" showInputMessage="1" showErrorMessage="1">
          <x14:formula1>
            <xm:f>'Opciones Tratamiento'!$B$13:$B$19</xm:f>
          </x14:formula1>
          <xm:sqref>F9:F68</xm:sqref>
        </x14:dataValidation>
        <x14:dataValidation type="list" allowBlank="1" showInputMessage="1" showErrorMessage="1">
          <x14:formula1>
            <xm:f>'Opciones Tratamiento'!$E$2:$E$4</xm:f>
          </x14:formula1>
          <xm:sqref>B9:B68</xm:sqref>
        </x14:dataValidation>
        <x14:dataValidation type="list" allowBlank="1" showInputMessage="1" showErrorMessage="1">
          <x14:formula1>
            <xm:f>'Opciones Tratamiento'!$B$2:$B$5</xm:f>
          </x14:formula1>
          <xm:sqref>AD9 AD11:AD15 AD17:AD68</xm:sqref>
        </x14:dataValidation>
        <x14:dataValidation type="list" allowBlank="1" showInputMessage="1" showErrorMessage="1">
          <x14:formula1>
            <xm:f>'Tabla Impacto'!$F$210:$F$221</xm:f>
          </x14:formula1>
          <xm:sqref>J9:J68</xm:sqref>
        </x14:dataValidation>
        <x14:dataValidation type="custom" allowBlank="1" showInputMessage="1" showErrorMessage="1" error="Recuerde que las acciones se generan bajo la medida de mitigar el riesgo">
          <x14:formula1>
            <xm:f>IF(OR(AD9='Opciones Tratamiento'!$B$2,AD9='Opciones Tratamiento'!$B$3,AD9='Opciones Tratamiento'!$B$4),ISBLANK(AD9),ISTEXT(AD9))</xm:f>
          </x14:formula1>
          <xm:sqref>AE17:AE68 AE9 AE11:AE15</xm:sqref>
        </x14:dataValidation>
        <x14:dataValidation type="custom" allowBlank="1" showInputMessage="1" showErrorMessage="1" error="Recuerde que las acciones se generan bajo la medida de mitigar el riesgo">
          <x14:formula1>
            <xm:f>IF(OR(AD9='Opciones Tratamiento'!$B$2,AD9='Opciones Tratamiento'!$B$3,AD9='Opciones Tratamiento'!$B$4),ISBLANK(AD9),ISTEXT(AD9))</xm:f>
          </x14:formula1>
          <xm:sqref>AF17:AF68 AF9 AF11:AF15</xm:sqref>
        </x14:dataValidation>
        <x14:dataValidation type="custom" allowBlank="1" showInputMessage="1" showErrorMessage="1" error="Recuerde que las acciones se generan bajo la medida de mitigar el riesgo">
          <x14:formula1>
            <xm:f>IF(OR(AD9='Opciones Tratamiento'!$B$2,AD9='Opciones Tratamiento'!$B$3,AD9='Opciones Tratamiento'!$B$4),ISBLANK(AD9),ISTEXT(AD9))</xm:f>
          </x14:formula1>
          <xm:sqref>AG17:AG68 AG9 AG11:AG15</xm:sqref>
        </x14:dataValidation>
        <x14:dataValidation type="custom" allowBlank="1" showInputMessage="1" showErrorMessage="1" error="Recuerde que las acciones se generan bajo la medida de mitigar el riesgo">
          <x14:formula1>
            <xm:f>IF(OR(AD9='Opciones Tratamiento'!$B$2,AD9='Opciones Tratamiento'!$B$3,AD9='Opciones Tratamiento'!$B$4),ISBLANK(AD9),ISTEXT(AD9))</xm:f>
          </x14:formula1>
          <xm:sqref>AH17:AH68 AH9 AH11:AH15</xm:sqref>
        </x14:dataValidation>
        <x14:dataValidation type="custom" allowBlank="1" showInputMessage="1" showErrorMessage="1" error="Recuerde que las acciones se generan bajo la medida de mitigar el riesgo">
          <x14:formula1>
            <xm:f>IF(OR(AD9='Opciones Tratamiento'!$B$2,AD9='Opciones Tratamiento'!$B$3,AD9='Opciones Tratamiento'!$B$4),ISBLANK(AD9),ISTEXT(AD9))</xm:f>
          </x14:formula1>
          <xm:sqref>AI17:AI68 AI9 AI11:AI15</xm:sqref>
        </x14:dataValidation>
        <x14:dataValidation type="custom" allowBlank="1" showInputMessage="1" showErrorMessage="1" error="Recuerde que las acciones se generan bajo la medida de mitigar el riesgo">
          <x14:formula1>
            <xm:f>IF(OR(AD78='G:\Plan Anticorrupción y Atenc al Ciudadano PAAC\2024\[2. Mapa Riesgos Gestion de Calidad.xlsx]Opciones Tratamiento'!#REF!,AD78='G:\Plan Anticorrupción y Atenc al Ciudadano PAAC\2024\[2. Mapa Riesgos Gestion de Calidad.xlsx]Opciones Tratamiento'!#REF!,AD78='G:\Plan Anticorrupción y Atenc al Ciudadano PAAC\2024\[2. Mapa Riesgos Gestion de Calidad.xlsx]Opciones Tratamiento'!#REF!),ISBLANK(AD78),ISTEXT(AD78))</xm:f>
          </x14:formula1>
          <xm:sqref>AI78 AI80:AI83</xm:sqref>
        </x14:dataValidation>
        <x14:dataValidation type="custom" allowBlank="1" showInputMessage="1" showErrorMessage="1" error="Recuerde que las acciones se generan bajo la medida de mitigar el riesgo">
          <x14:formula1>
            <xm:f>IF(OR(AD78='G:\Plan Anticorrupción y Atenc al Ciudadano PAAC\2024\[2. Mapa Riesgos Gestion de Calidad.xlsx]Opciones Tratamiento'!#REF!,AD78='G:\Plan Anticorrupción y Atenc al Ciudadano PAAC\2024\[2. Mapa Riesgos Gestion de Calidad.xlsx]Opciones Tratamiento'!#REF!,AD78='G:\Plan Anticorrupción y Atenc al Ciudadano PAAC\2024\[2. Mapa Riesgos Gestion de Calidad.xlsx]Opciones Tratamiento'!#REF!),ISBLANK(AD78),ISTEXT(AD78))</xm:f>
          </x14:formula1>
          <xm:sqref>AH78 AH80:AH83</xm:sqref>
        </x14:dataValidation>
        <x14:dataValidation type="custom" allowBlank="1" showInputMessage="1" showErrorMessage="1" error="Recuerde que las acciones se generan bajo la medida de mitigar el riesgo">
          <x14:formula1>
            <xm:f>IF(OR(AD78='G:\Plan Anticorrupción y Atenc al Ciudadano PAAC\2024\[2. Mapa Riesgos Gestion de Calidad.xlsx]Opciones Tratamiento'!#REF!,AD78='G:\Plan Anticorrupción y Atenc al Ciudadano PAAC\2024\[2. Mapa Riesgos Gestion de Calidad.xlsx]Opciones Tratamiento'!#REF!,AD78='G:\Plan Anticorrupción y Atenc al Ciudadano PAAC\2024\[2. Mapa Riesgos Gestion de Calidad.xlsx]Opciones Tratamiento'!#REF!),ISBLANK(AD78),ISTEXT(AD78))</xm:f>
          </x14:formula1>
          <xm:sqref>AG78 AG80:AG83</xm:sqref>
        </x14:dataValidation>
        <x14:dataValidation type="custom" allowBlank="1" showInputMessage="1" showErrorMessage="1" error="Recuerde que las acciones se generan bajo la medida de mitigar el riesgo">
          <x14:formula1>
            <xm:f>IF(OR(AD78='G:\Plan Anticorrupción y Atenc al Ciudadano PAAC\2024\[2. Mapa Riesgos Gestion de Calidad.xlsx]Opciones Tratamiento'!#REF!,AD78='G:\Plan Anticorrupción y Atenc al Ciudadano PAAC\2024\[2. Mapa Riesgos Gestion de Calidad.xlsx]Opciones Tratamiento'!#REF!,AD78='G:\Plan Anticorrupción y Atenc al Ciudadano PAAC\2024\[2. Mapa Riesgos Gestion de Calidad.xlsx]Opciones Tratamiento'!#REF!),ISBLANK(AD78),ISTEXT(AD78))</xm:f>
          </x14:formula1>
          <xm:sqref>AF78 AF80:AF83</xm:sqref>
        </x14:dataValidation>
        <x14:dataValidation type="custom" allowBlank="1" showInputMessage="1" showErrorMessage="1" error="Recuerde que las acciones se generan bajo la medida de mitigar el riesgo">
          <x14:formula1>
            <xm:f>IF(OR(AD78='G:\Plan Anticorrupción y Atenc al Ciudadano PAAC\2024\[2. Mapa Riesgos Gestion de Calidad.xlsx]Opciones Tratamiento'!#REF!,AD78='G:\Plan Anticorrupción y Atenc al Ciudadano PAAC\2024\[2. Mapa Riesgos Gestion de Calidad.xlsx]Opciones Tratamiento'!#REF!,AD78='G:\Plan Anticorrupción y Atenc al Ciudadano PAAC\2024\[2. Mapa Riesgos Gestion de Calidad.xlsx]Opciones Tratamiento'!#REF!),ISBLANK(AD78),ISTEXT(AD78))</xm:f>
          </x14:formula1>
          <xm:sqref>AE78 AE80:AE83</xm:sqref>
        </x14:dataValidation>
        <x14:dataValidation type="list" allowBlank="1" showInputMessage="1" showErrorMessage="1">
          <x14:formula1>
            <xm:f>'G:\Plan Anticorrupción y Atenc al Ciudadano PAAC\2024\[2. Mapa Riesgos Gestion de Calidad.xlsx]Tabla Impacto'!#REF!</xm:f>
          </x14:formula1>
          <xm:sqref>J78:J83</xm:sqref>
        </x14:dataValidation>
        <x14:dataValidation type="list" allowBlank="1" showInputMessage="1" showErrorMessage="1">
          <x14:formula1>
            <xm:f>'G:\Plan Anticorrupción y Atenc al Ciudadano PAAC\2024\[2. Mapa Riesgos Gestion de Calidad.xlsx]Opciones Tratamiento'!#REF!</xm:f>
          </x14:formula1>
          <xm:sqref>AD78 AD80:AD83</xm:sqref>
        </x14:dataValidation>
        <x14:dataValidation type="list" allowBlank="1" showInputMessage="1" showErrorMessage="1">
          <x14:formula1>
            <xm:f>'G:\Plan Anticorrupción y Atenc al Ciudadano PAAC\2024\[2. Mapa Riesgos Gestion de Calidad.xlsx]Opciones Tratamiento'!#REF!</xm:f>
          </x14:formula1>
          <xm:sqref>B78:B83</xm:sqref>
        </x14:dataValidation>
        <x14:dataValidation type="list" allowBlank="1" showInputMessage="1" showErrorMessage="1">
          <x14:formula1>
            <xm:f>'G:\Plan Anticorrupción y Atenc al Ciudadano PAAC\2024\[2. Mapa Riesgos Gestion de Calidad.xlsx]Opciones Tratamiento'!#REF!</xm:f>
          </x14:formula1>
          <xm:sqref>F78:F83</xm:sqref>
        </x14:dataValidation>
        <x14:dataValidation type="list" allowBlank="1" showInputMessage="1" showErrorMessage="1">
          <x14:formula1>
            <xm:f>'G:\Plan Anticorrupción y Atenc al Ciudadano PAAC\2024\[2. Mapa Riesgos Gestion de Calidad.xlsx]Tabla Valoración controles'!#REF!</xm:f>
          </x14:formula1>
          <xm:sqref>W78 W80:W83</xm:sqref>
        </x14:dataValidation>
        <x14:dataValidation type="list" allowBlank="1" showInputMessage="1" showErrorMessage="1">
          <x14:formula1>
            <xm:f>'G:\Plan Anticorrupción y Atenc al Ciudadano PAAC\2024\[2. Mapa Riesgos Gestion de Calidad.xlsx]Opciones Tratamiento'!#REF!</xm:f>
          </x14:formula1>
          <xm:sqref>AJ81:AJ82 AJ78</xm:sqref>
        </x14:dataValidation>
        <x14:dataValidation type="list" allowBlank="1" showInputMessage="1" showErrorMessage="1">
          <x14:formula1>
            <xm:f>'G:\Plan Anticorrupción y Atenc al Ciudadano PAAC\2024\[2. Mapa Riesgos Gestion de Calidad.xlsx]Tabla Valoración controles'!#REF!</xm:f>
          </x14:formula1>
          <xm:sqref>V78 V80:V83</xm:sqref>
        </x14:dataValidation>
        <x14:dataValidation type="list" allowBlank="1" showInputMessage="1" showErrorMessage="1">
          <x14:formula1>
            <xm:f>'G:\Plan Anticorrupción y Atenc al Ciudadano PAAC\2024\[2. Mapa Riesgos Gestion de Calidad.xlsx]Tabla Valoración controles'!#REF!</xm:f>
          </x14:formula1>
          <xm:sqref>U78 U80:U83</xm:sqref>
        </x14:dataValidation>
        <x14:dataValidation type="list" allowBlank="1" showInputMessage="1" showErrorMessage="1">
          <x14:formula1>
            <xm:f>'G:\Plan Anticorrupción y Atenc al Ciudadano PAAC\2024\[2. Mapa Riesgos Gestion de Calidad.xlsx]Tabla Valoración controles'!#REF!</xm:f>
          </x14:formula1>
          <xm:sqref>S78 S80:S83</xm:sqref>
        </x14:dataValidation>
        <x14:dataValidation type="list" allowBlank="1" showInputMessage="1" showErrorMessage="1">
          <x14:formula1>
            <xm:f>'G:\Plan Anticorrupción y Atenc al Ciudadano PAAC\2024\[2. Mapa Riesgos Gestion de Calidad.xlsx]Tabla Valoración controles'!#REF!</xm:f>
          </x14:formula1>
          <xm:sqref>R78 R80:R83</xm:sqref>
        </x14:dataValidation>
        <x14:dataValidation type="custom" allowBlank="1" showInputMessage="1" showErrorMessage="1" error="Recuerde que las acciones se generan bajo la medida de mitigar el riesgo">
          <x14:formula1>
            <xm:f>IF(OR(AD93='G:\Plan Anticorrupción y Atenc al Ciudadano PAAC\2024\[3. Mapa Riesgos Control Interno.xlsx]Opciones Tratamiento'!#REF!,AD93='G:\Plan Anticorrupción y Atenc al Ciudadano PAAC\2024\[3. Mapa Riesgos Control Interno.xlsx]Opciones Tratamiento'!#REF!,AD93='G:\Plan Anticorrupción y Atenc al Ciudadano PAAC\2024\[3. Mapa Riesgos Control Interno.xlsx]Opciones Tratamiento'!#REF!),ISBLANK(AD93),ISTEXT(AD93))</xm:f>
          </x14:formula1>
          <xm:sqref>AI93 AI95:AI100 AI110 AI102:AI106</xm:sqref>
        </x14:dataValidation>
        <x14:dataValidation type="custom" allowBlank="1" showInputMessage="1" showErrorMessage="1" error="Recuerde que las acciones se generan bajo la medida de mitigar el riesgo">
          <x14:formula1>
            <xm:f>IF(OR(AD93='G:\Plan Anticorrupción y Atenc al Ciudadano PAAC\2024\[3. Mapa Riesgos Control Interno.xlsx]Opciones Tratamiento'!#REF!,AD93='G:\Plan Anticorrupción y Atenc al Ciudadano PAAC\2024\[3. Mapa Riesgos Control Interno.xlsx]Opciones Tratamiento'!#REF!,AD93='G:\Plan Anticorrupción y Atenc al Ciudadano PAAC\2024\[3. Mapa Riesgos Control Interno.xlsx]Opciones Tratamiento'!#REF!),ISBLANK(AD93),ISTEXT(AD93))</xm:f>
          </x14:formula1>
          <xm:sqref>AH93 AH95:AH100 AH110 AH102:AH106</xm:sqref>
        </x14:dataValidation>
        <x14:dataValidation type="custom" allowBlank="1" showInputMessage="1" showErrorMessage="1" error="Recuerde que las acciones se generan bajo la medida de mitigar el riesgo">
          <x14:formula1>
            <xm:f>IF(OR(AD93='G:\Plan Anticorrupción y Atenc al Ciudadano PAAC\2024\[3. Mapa Riesgos Control Interno.xlsx]Opciones Tratamiento'!#REF!,AD93='G:\Plan Anticorrupción y Atenc al Ciudadano PAAC\2024\[3. Mapa Riesgos Control Interno.xlsx]Opciones Tratamiento'!#REF!,AD93='G:\Plan Anticorrupción y Atenc al Ciudadano PAAC\2024\[3. Mapa Riesgos Control Interno.xlsx]Opciones Tratamiento'!#REF!),ISBLANK(AD93),ISTEXT(AD93))</xm:f>
          </x14:formula1>
          <xm:sqref>AG93 AG95:AG100 AG110 AG102:AG106</xm:sqref>
        </x14:dataValidation>
        <x14:dataValidation type="custom" allowBlank="1" showInputMessage="1" showErrorMessage="1" error="Recuerde que las acciones se generan bajo la medida de mitigar el riesgo">
          <x14:formula1>
            <xm:f>IF(OR(AD93='G:\Plan Anticorrupción y Atenc al Ciudadano PAAC\2024\[3. Mapa Riesgos Control Interno.xlsx]Opciones Tratamiento'!#REF!,AD93='G:\Plan Anticorrupción y Atenc al Ciudadano PAAC\2024\[3. Mapa Riesgos Control Interno.xlsx]Opciones Tratamiento'!#REF!,AD93='G:\Plan Anticorrupción y Atenc al Ciudadano PAAC\2024\[3. Mapa Riesgos Control Interno.xlsx]Opciones Tratamiento'!#REF!),ISBLANK(AD93),ISTEXT(AD93))</xm:f>
          </x14:formula1>
          <xm:sqref>AF93 AF95:AF100 AF110 AF102:AF106</xm:sqref>
        </x14:dataValidation>
        <x14:dataValidation type="custom" allowBlank="1" showInputMessage="1" showErrorMessage="1" error="Recuerde que las acciones se generan bajo la medida de mitigar el riesgo">
          <x14:formula1>
            <xm:f>IF(OR(AD93='G:\Plan Anticorrupción y Atenc al Ciudadano PAAC\2024\[3. Mapa Riesgos Control Interno.xlsx]Opciones Tratamiento'!#REF!,AD93='G:\Plan Anticorrupción y Atenc al Ciudadano PAAC\2024\[3. Mapa Riesgos Control Interno.xlsx]Opciones Tratamiento'!#REF!,AD93='G:\Plan Anticorrupción y Atenc al Ciudadano PAAC\2024\[3. Mapa Riesgos Control Interno.xlsx]Opciones Tratamiento'!#REF!),ISBLANK(AD93),ISTEXT(AD93))</xm:f>
          </x14:formula1>
          <xm:sqref>AE93 AE95:AE100 AE110 AE102:AE106</xm:sqref>
        </x14:dataValidation>
        <x14:dataValidation type="list" allowBlank="1" showInputMessage="1" showErrorMessage="1">
          <x14:formula1>
            <xm:f>'G:\Plan Anticorrupción y Atenc al Ciudadano PAAC\2024\[3. Mapa Riesgos Control Interno.xlsx]Opciones Tratamiento'!#REF!</xm:f>
          </x14:formula1>
          <xm:sqref>AD93 AD95:AD100 AD110 AD102:AD106</xm:sqref>
        </x14:dataValidation>
        <x14:dataValidation type="list" allowBlank="1" showInputMessage="1" showErrorMessage="1">
          <x14:formula1>
            <xm:f>'G:\Plan Anticorrupción y Atenc al Ciudadano PAAC\2024\[3. Mapa Riesgos Control Interno.xlsx]Tabla Valoración controles'!#REF!</xm:f>
          </x14:formula1>
          <xm:sqref>W93 W95:W100 W110 W102:W106</xm:sqref>
        </x14:dataValidation>
        <x14:dataValidation type="list" allowBlank="1" showInputMessage="1" showErrorMessage="1">
          <x14:formula1>
            <xm:f>'G:\Plan Anticorrupción y Atenc al Ciudadano PAAC\2024\[3. Mapa Riesgos Control Interno.xlsx]Opciones Tratamiento'!#REF!</xm:f>
          </x14:formula1>
          <xm:sqref>AJ99:AJ100 AJ96:AJ97 AJ103:AJ104 AJ93 AJ110 AJ106</xm:sqref>
        </x14:dataValidation>
        <x14:dataValidation type="list" allowBlank="1" showInputMessage="1" showErrorMessage="1">
          <x14:formula1>
            <xm:f>'G:\Plan Anticorrupción y Atenc al Ciudadano PAAC\2024\[3. Mapa Riesgos Control Interno.xlsx]Tabla Valoración controles'!#REF!</xm:f>
          </x14:formula1>
          <xm:sqref>V93 V95:V100 V110 V102:V106</xm:sqref>
        </x14:dataValidation>
        <x14:dataValidation type="list" allowBlank="1" showInputMessage="1" showErrorMessage="1">
          <x14:formula1>
            <xm:f>'G:\Plan Anticorrupción y Atenc al Ciudadano PAAC\2024\[3. Mapa Riesgos Control Interno.xlsx]Tabla Valoración controles'!#REF!</xm:f>
          </x14:formula1>
          <xm:sqref>U93 U95:U100 U110 U102:U106</xm:sqref>
        </x14:dataValidation>
        <x14:dataValidation type="list" allowBlank="1" showInputMessage="1" showErrorMessage="1">
          <x14:formula1>
            <xm:f>'G:\Plan Anticorrupción y Atenc al Ciudadano PAAC\2024\[3. Mapa Riesgos Control Interno.xlsx]Tabla Valoración controles'!#REF!</xm:f>
          </x14:formula1>
          <xm:sqref>S93 S95:S100 S110 S102:S106</xm:sqref>
        </x14:dataValidation>
        <x14:dataValidation type="list" allowBlank="1" showInputMessage="1" showErrorMessage="1">
          <x14:formula1>
            <xm:f>'G:\Plan Anticorrupción y Atenc al Ciudadano PAAC\2024\[3. Mapa Riesgos Control Interno.xlsx]Tabla Valoración controles'!#REF!</xm:f>
          </x14:formula1>
          <xm:sqref>R93 R95:R100 R110 R102:R106</xm:sqref>
        </x14:dataValidation>
        <x14:dataValidation type="list" allowBlank="1" showInputMessage="1" showErrorMessage="1">
          <x14:formula1>
            <xm:f>'G:\Plan Anticorrupción y Atenc al Ciudadano PAAC\2024\[3. Mapa Riesgos Control Interno.xlsx]Tabla Impacto'!#REF!</xm:f>
          </x14:formula1>
          <xm:sqref>J93:J113</xm:sqref>
        </x14:dataValidation>
        <x14:dataValidation type="list" allowBlank="1" showInputMessage="1" showErrorMessage="1">
          <x14:formula1>
            <xm:f>'G:\Plan Anticorrupción y Atenc al Ciudadano PAAC\2024\[3. Mapa Riesgos Control Interno.xlsx]Opciones Tratamiento'!#REF!</xm:f>
          </x14:formula1>
          <xm:sqref>B93:B113</xm:sqref>
        </x14:dataValidation>
        <x14:dataValidation type="list" allowBlank="1" showInputMessage="1" showErrorMessage="1">
          <x14:formula1>
            <xm:f>'G:\Plan Anticorrupción y Atenc al Ciudadano PAAC\2024\[3. Mapa Riesgos Control Interno.xlsx]Opciones Tratamiento'!#REF!</xm:f>
          </x14:formula1>
          <xm:sqref>F93:F113</xm:sqref>
        </x14:dataValidation>
        <x14:dataValidation type="custom" allowBlank="1" showInputMessage="1" showErrorMessage="1" error="Recuerde que las acciones se generan bajo la medida de mitigar el riesgo">
          <x14:formula1>
            <xm:f>IF(OR(AD122='G:\Plan Anticorrupción y Atenc al Ciudadano PAAC\2024\[5. Mapa Riesgos programacion.xlsx]Opciones Tratamiento'!#REF!,AD122='G:\Plan Anticorrupción y Atenc al Ciudadano PAAC\2024\[5. Mapa Riesgos programacion.xlsx]Opciones Tratamiento'!#REF!,AD122='G:\Plan Anticorrupción y Atenc al Ciudadano PAAC\2024\[5. Mapa Riesgos programacion.xlsx]Opciones Tratamiento'!#REF!),ISBLANK(AD122),ISTEXT(AD122))</xm:f>
          </x14:formula1>
          <xm:sqref>AI130:AI133 AI122 AI124:AI128</xm:sqref>
        </x14:dataValidation>
        <x14:dataValidation type="custom" allowBlank="1" showInputMessage="1" showErrorMessage="1" error="Recuerde que las acciones se generan bajo la medida de mitigar el riesgo">
          <x14:formula1>
            <xm:f>IF(OR(AD122='G:\Plan Anticorrupción y Atenc al Ciudadano PAAC\2024\[5. Mapa Riesgos programacion.xlsx]Opciones Tratamiento'!#REF!,AD122='G:\Plan Anticorrupción y Atenc al Ciudadano PAAC\2024\[5. Mapa Riesgos programacion.xlsx]Opciones Tratamiento'!#REF!,AD122='G:\Plan Anticorrupción y Atenc al Ciudadano PAAC\2024\[5. Mapa Riesgos programacion.xlsx]Opciones Tratamiento'!#REF!),ISBLANK(AD122),ISTEXT(AD122))</xm:f>
          </x14:formula1>
          <xm:sqref>AH130:AH133 AH122 AH124:AH128</xm:sqref>
        </x14:dataValidation>
        <x14:dataValidation type="custom" allowBlank="1" showInputMessage="1" showErrorMessage="1" error="Recuerde que las acciones se generan bajo la medida de mitigar el riesgo">
          <x14:formula1>
            <xm:f>IF(OR(AD122='G:\Plan Anticorrupción y Atenc al Ciudadano PAAC\2024\[5. Mapa Riesgos programacion.xlsx]Opciones Tratamiento'!#REF!,AD122='G:\Plan Anticorrupción y Atenc al Ciudadano PAAC\2024\[5. Mapa Riesgos programacion.xlsx]Opciones Tratamiento'!#REF!,AD122='G:\Plan Anticorrupción y Atenc al Ciudadano PAAC\2024\[5. Mapa Riesgos programacion.xlsx]Opciones Tratamiento'!#REF!),ISBLANK(AD122),ISTEXT(AD122))</xm:f>
          </x14:formula1>
          <xm:sqref>AG130:AG133 AG122 AG124:AG128</xm:sqref>
        </x14:dataValidation>
        <x14:dataValidation type="custom" allowBlank="1" showInputMessage="1" showErrorMessage="1" error="Recuerde que las acciones se generan bajo la medida de mitigar el riesgo">
          <x14:formula1>
            <xm:f>IF(OR(AD122='G:\Plan Anticorrupción y Atenc al Ciudadano PAAC\2024\[5. Mapa Riesgos programacion.xlsx]Opciones Tratamiento'!#REF!,AD122='G:\Plan Anticorrupción y Atenc al Ciudadano PAAC\2024\[5. Mapa Riesgos programacion.xlsx]Opciones Tratamiento'!#REF!,AD122='G:\Plan Anticorrupción y Atenc al Ciudadano PAAC\2024\[5. Mapa Riesgos programacion.xlsx]Opciones Tratamiento'!#REF!),ISBLANK(AD122),ISTEXT(AD122))</xm:f>
          </x14:formula1>
          <xm:sqref>AF130:AF133 AF122 AF124:AF128</xm:sqref>
        </x14:dataValidation>
        <x14:dataValidation type="custom" allowBlank="1" showInputMessage="1" showErrorMessage="1" error="Recuerde que las acciones se generan bajo la medida de mitigar el riesgo">
          <x14:formula1>
            <xm:f>IF(OR(AD122='G:\Plan Anticorrupción y Atenc al Ciudadano PAAC\2024\[5. Mapa Riesgos programacion.xlsx]Opciones Tratamiento'!#REF!,AD122='G:\Plan Anticorrupción y Atenc al Ciudadano PAAC\2024\[5. Mapa Riesgos programacion.xlsx]Opciones Tratamiento'!#REF!,AD122='G:\Plan Anticorrupción y Atenc al Ciudadano PAAC\2024\[5. Mapa Riesgos programacion.xlsx]Opciones Tratamiento'!#REF!),ISBLANK(AD122),ISTEXT(AD122))</xm:f>
          </x14:formula1>
          <xm:sqref>AE130:AE133 AE122 AE124:AE128</xm:sqref>
        </x14:dataValidation>
        <x14:dataValidation type="list" allowBlank="1" showInputMessage="1" showErrorMessage="1">
          <x14:formula1>
            <xm:f>'G:\Plan Anticorrupción y Atenc al Ciudadano PAAC\2024\[5. Mapa Riesgos programacion.xlsx]Tabla Impacto'!#REF!</xm:f>
          </x14:formula1>
          <xm:sqref>J122:J133</xm:sqref>
        </x14:dataValidation>
        <x14:dataValidation type="list" allowBlank="1" showInputMessage="1" showErrorMessage="1">
          <x14:formula1>
            <xm:f>'G:\Plan Anticorrupción y Atenc al Ciudadano PAAC\2024\[5. Mapa Riesgos programacion.xlsx]Opciones Tratamiento'!#REF!</xm:f>
          </x14:formula1>
          <xm:sqref>AD122 AD124:AD128 AD130:AD133</xm:sqref>
        </x14:dataValidation>
        <x14:dataValidation type="list" allowBlank="1" showInputMessage="1" showErrorMessage="1">
          <x14:formula1>
            <xm:f>'G:\Plan Anticorrupción y Atenc al Ciudadano PAAC\2024\[5. Mapa Riesgos programacion.xlsx]Opciones Tratamiento'!#REF!</xm:f>
          </x14:formula1>
          <xm:sqref>B122:B133</xm:sqref>
        </x14:dataValidation>
        <x14:dataValidation type="list" allowBlank="1" showInputMessage="1" showErrorMessage="1">
          <x14:formula1>
            <xm:f>'G:\Plan Anticorrupción y Atenc al Ciudadano PAAC\2024\[5. Mapa Riesgos programacion.xlsx]Opciones Tratamiento'!#REF!</xm:f>
          </x14:formula1>
          <xm:sqref>F122:F133</xm:sqref>
        </x14:dataValidation>
        <x14:dataValidation type="list" allowBlank="1" showInputMessage="1" showErrorMessage="1">
          <x14:formula1>
            <xm:f>'G:\Plan Anticorrupción y Atenc al Ciudadano PAAC\2024\[5. Mapa Riesgos programacion.xlsx]Tabla Valoración controles'!#REF!</xm:f>
          </x14:formula1>
          <xm:sqref>W122 W124:W128 W130:W133</xm:sqref>
        </x14:dataValidation>
        <x14:dataValidation type="list" allowBlank="1" showInputMessage="1" showErrorMessage="1">
          <x14:formula1>
            <xm:f>'G:\Plan Anticorrupción y Atenc al Ciudadano PAAC\2024\[5. Mapa Riesgos programacion.xlsx]Opciones Tratamiento'!#REF!</xm:f>
          </x14:formula1>
          <xm:sqref>AJ128 AJ125:AJ126 AJ131:AJ132 AJ122</xm:sqref>
        </x14:dataValidation>
        <x14:dataValidation type="list" allowBlank="1" showInputMessage="1" showErrorMessage="1">
          <x14:formula1>
            <xm:f>'G:\Plan Anticorrupción y Atenc al Ciudadano PAAC\2024\[5. Mapa Riesgos programacion.xlsx]Tabla Valoración controles'!#REF!</xm:f>
          </x14:formula1>
          <xm:sqref>V122 V124:V128 V130:V133</xm:sqref>
        </x14:dataValidation>
        <x14:dataValidation type="list" allowBlank="1" showInputMessage="1" showErrorMessage="1">
          <x14:formula1>
            <xm:f>'G:\Plan Anticorrupción y Atenc al Ciudadano PAAC\2024\[5. Mapa Riesgos programacion.xlsx]Tabla Valoración controles'!#REF!</xm:f>
          </x14:formula1>
          <xm:sqref>U122 U124:U128 U130:U133</xm:sqref>
        </x14:dataValidation>
        <x14:dataValidation type="list" allowBlank="1" showInputMessage="1" showErrorMessage="1">
          <x14:formula1>
            <xm:f>'G:\Plan Anticorrupción y Atenc al Ciudadano PAAC\2024\[5. Mapa Riesgos programacion.xlsx]Tabla Valoración controles'!#REF!</xm:f>
          </x14:formula1>
          <xm:sqref>S122 S124:S128 S130:S133</xm:sqref>
        </x14:dataValidation>
        <x14:dataValidation type="list" allowBlank="1" showInputMessage="1" showErrorMessage="1">
          <x14:formula1>
            <xm:f>'G:\Plan Anticorrupción y Atenc al Ciudadano PAAC\2024\[5. Mapa Riesgos programacion.xlsx]Tabla Valoración controles'!#REF!</xm:f>
          </x14:formula1>
          <xm:sqref>R122 R124:R128 R130:R133</xm:sqref>
        </x14:dataValidation>
        <x14:dataValidation type="custom" allowBlank="1" showInputMessage="1" showErrorMessage="1" error="Recuerde que las acciones se generan bajo la medida de mitigar el riesgo">
          <x14:formula1>
            <xm:f>IF(OR(AD144='G:\Plan Anticorrupción y Atenc al Ciudadano PAAC\2024\[6. Mapa Riesgos produccion.xlsx]Opciones Tratamiento'!#REF!,AD144='G:\Plan Anticorrupción y Atenc al Ciudadano PAAC\2024\[6. Mapa Riesgos produccion.xlsx]Opciones Tratamiento'!#REF!,AD144='G:\Plan Anticorrupción y Atenc al Ciudadano PAAC\2024\[6. Mapa Riesgos produccion.xlsx]Opciones Tratamiento'!#REF!),ISBLANK(AD144),ISTEXT(AD144))</xm:f>
          </x14:formula1>
          <xm:sqref>AI152:AI155 AI144 AI146:AI150</xm:sqref>
        </x14:dataValidation>
        <x14:dataValidation type="custom" allowBlank="1" showInputMessage="1" showErrorMessage="1" error="Recuerde que las acciones se generan bajo la medida de mitigar el riesgo">
          <x14:formula1>
            <xm:f>IF(OR(AD144='G:\Plan Anticorrupción y Atenc al Ciudadano PAAC\2024\[6. Mapa Riesgos produccion.xlsx]Opciones Tratamiento'!#REF!,AD144='G:\Plan Anticorrupción y Atenc al Ciudadano PAAC\2024\[6. Mapa Riesgos produccion.xlsx]Opciones Tratamiento'!#REF!,AD144='G:\Plan Anticorrupción y Atenc al Ciudadano PAAC\2024\[6. Mapa Riesgos produccion.xlsx]Opciones Tratamiento'!#REF!),ISBLANK(AD144),ISTEXT(AD144))</xm:f>
          </x14:formula1>
          <xm:sqref>AH152:AH155 AH144 AH146:AH150</xm:sqref>
        </x14:dataValidation>
        <x14:dataValidation type="custom" allowBlank="1" showInputMessage="1" showErrorMessage="1" error="Recuerde que las acciones se generan bajo la medida de mitigar el riesgo">
          <x14:formula1>
            <xm:f>IF(OR(AD144='G:\Plan Anticorrupción y Atenc al Ciudadano PAAC\2024\[6. Mapa Riesgos produccion.xlsx]Opciones Tratamiento'!#REF!,AD144='G:\Plan Anticorrupción y Atenc al Ciudadano PAAC\2024\[6. Mapa Riesgos produccion.xlsx]Opciones Tratamiento'!#REF!,AD144='G:\Plan Anticorrupción y Atenc al Ciudadano PAAC\2024\[6. Mapa Riesgos produccion.xlsx]Opciones Tratamiento'!#REF!),ISBLANK(AD144),ISTEXT(AD144))</xm:f>
          </x14:formula1>
          <xm:sqref>AG152:AG155 AG144 AG146:AG150</xm:sqref>
        </x14:dataValidation>
        <x14:dataValidation type="custom" allowBlank="1" showInputMessage="1" showErrorMessage="1" error="Recuerde que las acciones se generan bajo la medida de mitigar el riesgo">
          <x14:formula1>
            <xm:f>IF(OR(AD144='G:\Plan Anticorrupción y Atenc al Ciudadano PAAC\2024\[6. Mapa Riesgos produccion.xlsx]Opciones Tratamiento'!#REF!,AD144='G:\Plan Anticorrupción y Atenc al Ciudadano PAAC\2024\[6. Mapa Riesgos produccion.xlsx]Opciones Tratamiento'!#REF!,AD144='G:\Plan Anticorrupción y Atenc al Ciudadano PAAC\2024\[6. Mapa Riesgos produccion.xlsx]Opciones Tratamiento'!#REF!),ISBLANK(AD144),ISTEXT(AD144))</xm:f>
          </x14:formula1>
          <xm:sqref>AF152:AF155 AF144 AF146:AF150</xm:sqref>
        </x14:dataValidation>
        <x14:dataValidation type="custom" allowBlank="1" showInputMessage="1" showErrorMessage="1" error="Recuerde que las acciones se generan bajo la medida de mitigar el riesgo">
          <x14:formula1>
            <xm:f>IF(OR(AD144='G:\Plan Anticorrupción y Atenc al Ciudadano PAAC\2024\[6. Mapa Riesgos produccion.xlsx]Opciones Tratamiento'!#REF!,AD144='G:\Plan Anticorrupción y Atenc al Ciudadano PAAC\2024\[6. Mapa Riesgos produccion.xlsx]Opciones Tratamiento'!#REF!,AD144='G:\Plan Anticorrupción y Atenc al Ciudadano PAAC\2024\[6. Mapa Riesgos produccion.xlsx]Opciones Tratamiento'!#REF!),ISBLANK(AD144),ISTEXT(AD144))</xm:f>
          </x14:formula1>
          <xm:sqref>AE152:AE155 AE144 AE146:AE150</xm:sqref>
        </x14:dataValidation>
        <x14:dataValidation type="list" allowBlank="1" showInputMessage="1" showErrorMessage="1">
          <x14:formula1>
            <xm:f>'G:\Plan Anticorrupción y Atenc al Ciudadano PAAC\2024\[6. Mapa Riesgos produccion.xlsx]Tabla Impacto'!#REF!</xm:f>
          </x14:formula1>
          <xm:sqref>J144:J155</xm:sqref>
        </x14:dataValidation>
        <x14:dataValidation type="list" allowBlank="1" showInputMessage="1" showErrorMessage="1">
          <x14:formula1>
            <xm:f>'G:\Plan Anticorrupción y Atenc al Ciudadano PAAC\2024\[6. Mapa Riesgos produccion.xlsx]Opciones Tratamiento'!#REF!</xm:f>
          </x14:formula1>
          <xm:sqref>AD144 AD146:AD150 AD152:AD155</xm:sqref>
        </x14:dataValidation>
        <x14:dataValidation type="list" allowBlank="1" showInputMessage="1" showErrorMessage="1">
          <x14:formula1>
            <xm:f>'G:\Plan Anticorrupción y Atenc al Ciudadano PAAC\2024\[6. Mapa Riesgos produccion.xlsx]Opciones Tratamiento'!#REF!</xm:f>
          </x14:formula1>
          <xm:sqref>B144:B155</xm:sqref>
        </x14:dataValidation>
        <x14:dataValidation type="list" allowBlank="1" showInputMessage="1" showErrorMessage="1">
          <x14:formula1>
            <xm:f>'G:\Plan Anticorrupción y Atenc al Ciudadano PAAC\2024\[6. Mapa Riesgos produccion.xlsx]Opciones Tratamiento'!#REF!</xm:f>
          </x14:formula1>
          <xm:sqref>F144:F155</xm:sqref>
        </x14:dataValidation>
        <x14:dataValidation type="list" allowBlank="1" showInputMessage="1" showErrorMessage="1">
          <x14:formula1>
            <xm:f>'G:\Plan Anticorrupción y Atenc al Ciudadano PAAC\2024\[6. Mapa Riesgos produccion.xlsx]Tabla Valoración controles'!#REF!</xm:f>
          </x14:formula1>
          <xm:sqref>W144 W146:W150 W152:W155</xm:sqref>
        </x14:dataValidation>
        <x14:dataValidation type="list" allowBlank="1" showInputMessage="1" showErrorMessage="1">
          <x14:formula1>
            <xm:f>'G:\Plan Anticorrupción y Atenc al Ciudadano PAAC\2024\[6. Mapa Riesgos produccion.xlsx]Opciones Tratamiento'!#REF!</xm:f>
          </x14:formula1>
          <xm:sqref>AJ150 AJ147:AJ148 AJ153:AJ154 AJ144</xm:sqref>
        </x14:dataValidation>
        <x14:dataValidation type="list" allowBlank="1" showInputMessage="1" showErrorMessage="1">
          <x14:formula1>
            <xm:f>'G:\Plan Anticorrupción y Atenc al Ciudadano PAAC\2024\[6. Mapa Riesgos produccion.xlsx]Tabla Valoración controles'!#REF!</xm:f>
          </x14:formula1>
          <xm:sqref>V144 V146:V150 V152:V155</xm:sqref>
        </x14:dataValidation>
        <x14:dataValidation type="list" allowBlank="1" showInputMessage="1" showErrorMessage="1">
          <x14:formula1>
            <xm:f>'G:\Plan Anticorrupción y Atenc al Ciudadano PAAC\2024\[6. Mapa Riesgos produccion.xlsx]Tabla Valoración controles'!#REF!</xm:f>
          </x14:formula1>
          <xm:sqref>U144 U146:U150 U152:U155</xm:sqref>
        </x14:dataValidation>
        <x14:dataValidation type="list" allowBlank="1" showInputMessage="1" showErrorMessage="1">
          <x14:formula1>
            <xm:f>'G:\Plan Anticorrupción y Atenc al Ciudadano PAAC\2024\[6. Mapa Riesgos produccion.xlsx]Tabla Valoración controles'!#REF!</xm:f>
          </x14:formula1>
          <xm:sqref>S144 S146:S150 S152:S155</xm:sqref>
        </x14:dataValidation>
        <x14:dataValidation type="list" allowBlank="1" showInputMessage="1" showErrorMessage="1">
          <x14:formula1>
            <xm:f>'G:\Plan Anticorrupción y Atenc al Ciudadano PAAC\2024\[6. Mapa Riesgos produccion.xlsx]Tabla Valoración controles'!#REF!</xm:f>
          </x14:formula1>
          <xm:sqref>R144 R146:R150 R152:R155</xm:sqref>
        </x14:dataValidation>
        <x14:dataValidation type="custom" allowBlank="1" showInputMessage="1" showErrorMessage="1" error="Recuerde que las acciones se generan bajo la medida de mitigar el riesgo">
          <x14:formula1>
            <xm:f>IF(OR(AD165='G:\Plan Anticorrupción y Atenc al Ciudadano PAAC\2024\[7. Mapa Riesgos ADMIN.xlsx]Opciones Tratamiento'!#REF!,AD165='G:\Plan Anticorrupción y Atenc al Ciudadano PAAC\2024\[7. Mapa Riesgos ADMIN.xlsx]Opciones Tratamiento'!#REF!,AD165='G:\Plan Anticorrupción y Atenc al Ciudadano PAAC\2024\[7. Mapa Riesgos ADMIN.xlsx]Opciones Tratamiento'!#REF!),ISBLANK(AD165),ISTEXT(AD165))</xm:f>
          </x14:formula1>
          <xm:sqref>AI173:AI176 AI165 AI167:AI171</xm:sqref>
        </x14:dataValidation>
        <x14:dataValidation type="custom" allowBlank="1" showInputMessage="1" showErrorMessage="1" error="Recuerde que las acciones se generan bajo la medida de mitigar el riesgo">
          <x14:formula1>
            <xm:f>IF(OR(AD165='G:\Plan Anticorrupción y Atenc al Ciudadano PAAC\2024\[7. Mapa Riesgos ADMIN.xlsx]Opciones Tratamiento'!#REF!,AD165='G:\Plan Anticorrupción y Atenc al Ciudadano PAAC\2024\[7. Mapa Riesgos ADMIN.xlsx]Opciones Tratamiento'!#REF!,AD165='G:\Plan Anticorrupción y Atenc al Ciudadano PAAC\2024\[7. Mapa Riesgos ADMIN.xlsx]Opciones Tratamiento'!#REF!),ISBLANK(AD165),ISTEXT(AD165))</xm:f>
          </x14:formula1>
          <xm:sqref>AH173:AH176 AH165 AH167:AH171</xm:sqref>
        </x14:dataValidation>
        <x14:dataValidation type="custom" allowBlank="1" showInputMessage="1" showErrorMessage="1" error="Recuerde que las acciones se generan bajo la medida de mitigar el riesgo">
          <x14:formula1>
            <xm:f>IF(OR(AD165='G:\Plan Anticorrupción y Atenc al Ciudadano PAAC\2024\[7. Mapa Riesgos ADMIN.xlsx]Opciones Tratamiento'!#REF!,AD165='G:\Plan Anticorrupción y Atenc al Ciudadano PAAC\2024\[7. Mapa Riesgos ADMIN.xlsx]Opciones Tratamiento'!#REF!,AD165='G:\Plan Anticorrupción y Atenc al Ciudadano PAAC\2024\[7. Mapa Riesgos ADMIN.xlsx]Opciones Tratamiento'!#REF!),ISBLANK(AD165),ISTEXT(AD165))</xm:f>
          </x14:formula1>
          <xm:sqref>AG173:AG176 AG165 AG167:AG171</xm:sqref>
        </x14:dataValidation>
        <x14:dataValidation type="custom" allowBlank="1" showInputMessage="1" showErrorMessage="1" error="Recuerde que las acciones se generan bajo la medida de mitigar el riesgo">
          <x14:formula1>
            <xm:f>IF(OR(AD165='G:\Plan Anticorrupción y Atenc al Ciudadano PAAC\2024\[7. Mapa Riesgos ADMIN.xlsx]Opciones Tratamiento'!#REF!,AD165='G:\Plan Anticorrupción y Atenc al Ciudadano PAAC\2024\[7. Mapa Riesgos ADMIN.xlsx]Opciones Tratamiento'!#REF!,AD165='G:\Plan Anticorrupción y Atenc al Ciudadano PAAC\2024\[7. Mapa Riesgos ADMIN.xlsx]Opciones Tratamiento'!#REF!),ISBLANK(AD165),ISTEXT(AD165))</xm:f>
          </x14:formula1>
          <xm:sqref>AF173:AF176 AF165 AF167:AF171</xm:sqref>
        </x14:dataValidation>
        <x14:dataValidation type="custom" allowBlank="1" showInputMessage="1" showErrorMessage="1" error="Recuerde que las acciones se generan bajo la medida de mitigar el riesgo">
          <x14:formula1>
            <xm:f>IF(OR(AD165='G:\Plan Anticorrupción y Atenc al Ciudadano PAAC\2024\[7. Mapa Riesgos ADMIN.xlsx]Opciones Tratamiento'!#REF!,AD165='G:\Plan Anticorrupción y Atenc al Ciudadano PAAC\2024\[7. Mapa Riesgos ADMIN.xlsx]Opciones Tratamiento'!#REF!,AD165='G:\Plan Anticorrupción y Atenc al Ciudadano PAAC\2024\[7. Mapa Riesgos ADMIN.xlsx]Opciones Tratamiento'!#REF!),ISBLANK(AD165),ISTEXT(AD165))</xm:f>
          </x14:formula1>
          <xm:sqref>AE173:AE176 AE165 AE167:AE171</xm:sqref>
        </x14:dataValidation>
        <x14:dataValidation type="list" allowBlank="1" showInputMessage="1" showErrorMessage="1">
          <x14:formula1>
            <xm:f>'G:\Plan Anticorrupción y Atenc al Ciudadano PAAC\2024\[7. Mapa Riesgos ADMIN.xlsx]Tabla Impacto'!#REF!</xm:f>
          </x14:formula1>
          <xm:sqref>J165:J176</xm:sqref>
        </x14:dataValidation>
        <x14:dataValidation type="list" allowBlank="1" showInputMessage="1" showErrorMessage="1">
          <x14:formula1>
            <xm:f>'G:\Plan Anticorrupción y Atenc al Ciudadano PAAC\2024\[7. Mapa Riesgos ADMIN.xlsx]Opciones Tratamiento'!#REF!</xm:f>
          </x14:formula1>
          <xm:sqref>AD165 AD167:AD171 AD173:AD176</xm:sqref>
        </x14:dataValidation>
        <x14:dataValidation type="list" allowBlank="1" showInputMessage="1" showErrorMessage="1">
          <x14:formula1>
            <xm:f>'G:\Plan Anticorrupción y Atenc al Ciudadano PAAC\2024\[7. Mapa Riesgos ADMIN.xlsx]Opciones Tratamiento'!#REF!</xm:f>
          </x14:formula1>
          <xm:sqref>B165:B176</xm:sqref>
        </x14:dataValidation>
        <x14:dataValidation type="list" allowBlank="1" showInputMessage="1" showErrorMessage="1">
          <x14:formula1>
            <xm:f>'G:\Plan Anticorrupción y Atenc al Ciudadano PAAC\2024\[7. Mapa Riesgos ADMIN.xlsx]Opciones Tratamiento'!#REF!</xm:f>
          </x14:formula1>
          <xm:sqref>F165:F176</xm:sqref>
        </x14:dataValidation>
        <x14:dataValidation type="list" allowBlank="1" showInputMessage="1" showErrorMessage="1">
          <x14:formula1>
            <xm:f>'G:\Plan Anticorrupción y Atenc al Ciudadano PAAC\2024\[7. Mapa Riesgos ADMIN.xlsx]Tabla Valoración controles'!#REF!</xm:f>
          </x14:formula1>
          <xm:sqref>W165 W167:W171 W173:W176</xm:sqref>
        </x14:dataValidation>
        <x14:dataValidation type="list" allowBlank="1" showInputMessage="1" showErrorMessage="1">
          <x14:formula1>
            <xm:f>'G:\Plan Anticorrupción y Atenc al Ciudadano PAAC\2024\[7. Mapa Riesgos ADMIN.xlsx]Opciones Tratamiento'!#REF!</xm:f>
          </x14:formula1>
          <xm:sqref>AJ171 AJ168:AJ169 AJ174:AJ175 AJ165</xm:sqref>
        </x14:dataValidation>
        <x14:dataValidation type="list" allowBlank="1" showInputMessage="1" showErrorMessage="1">
          <x14:formula1>
            <xm:f>'G:\Plan Anticorrupción y Atenc al Ciudadano PAAC\2024\[7. Mapa Riesgos ADMIN.xlsx]Tabla Valoración controles'!#REF!</xm:f>
          </x14:formula1>
          <xm:sqref>V165 V167:V171 V173:V176</xm:sqref>
        </x14:dataValidation>
        <x14:dataValidation type="list" allowBlank="1" showInputMessage="1" showErrorMessage="1">
          <x14:formula1>
            <xm:f>'G:\Plan Anticorrupción y Atenc al Ciudadano PAAC\2024\[7. Mapa Riesgos ADMIN.xlsx]Tabla Valoración controles'!#REF!</xm:f>
          </x14:formula1>
          <xm:sqref>U165 U167:U171 U173:U176</xm:sqref>
        </x14:dataValidation>
        <x14:dataValidation type="list" allowBlank="1" showInputMessage="1" showErrorMessage="1">
          <x14:formula1>
            <xm:f>'G:\Plan Anticorrupción y Atenc al Ciudadano PAAC\2024\[7. Mapa Riesgos ADMIN.xlsx]Tabla Valoración controles'!#REF!</xm:f>
          </x14:formula1>
          <xm:sqref>S165 S167:S171 S173:S176</xm:sqref>
        </x14:dataValidation>
        <x14:dataValidation type="list" allowBlank="1" showInputMessage="1" showErrorMessage="1">
          <x14:formula1>
            <xm:f>'G:\Plan Anticorrupción y Atenc al Ciudadano PAAC\2024\[7. Mapa Riesgos ADMIN.xlsx]Tabla Valoración controles'!#REF!</xm:f>
          </x14:formula1>
          <xm:sqref>R165 R167:R171 R173:R176</xm:sqref>
        </x14:dataValidation>
        <x14:dataValidation type="list" allowBlank="1" showInputMessage="1" showErrorMessage="1">
          <x14:formula1>
            <xm:f>'G:\Plan Anticorrupción y Atenc al Ciudadano PAAC\2024\[8. Mapa Riesgos RRHH.xlsx]Tabla Impacto'!#REF!</xm:f>
          </x14:formula1>
          <xm:sqref>J185:J190</xm:sqref>
        </x14:dataValidation>
        <x14:dataValidation type="list" allowBlank="1" showInputMessage="1" showErrorMessage="1">
          <x14:formula1>
            <xm:f>'G:\Plan Anticorrupción y Atenc al Ciudadano PAAC\2024\[8. Mapa Riesgos RRHH.xlsx]Opciones Tratamiento'!#REF!</xm:f>
          </x14:formula1>
          <xm:sqref>B185:B190</xm:sqref>
        </x14:dataValidation>
        <x14:dataValidation type="list" allowBlank="1" showInputMessage="1" showErrorMessage="1">
          <x14:formula1>
            <xm:f>'G:\Plan Anticorrupción y Atenc al Ciudadano PAAC\2024\[8. Mapa Riesgos RRHH.xlsx]Opciones Tratamiento'!#REF!</xm:f>
          </x14:formula1>
          <xm:sqref>F185:F190</xm:sqref>
        </x14:dataValidation>
        <x14:dataValidation type="custom" allowBlank="1" showInputMessage="1" showErrorMessage="1" error="Recuerde que las acciones se generan bajo la medida de mitigar el riesgo">
          <x14:formula1>
            <xm:f>IF(OR(AD185='G:\Plan Anticorrupción y Atenc al Ciudadano PAAC\2024\[8. Mapa Riesgos RRHH.xlsx]Opciones Tratamiento'!#REF!,AD185='G:\Plan Anticorrupción y Atenc al Ciudadano PAAC\2024\[8. Mapa Riesgos RRHH.xlsx]Opciones Tratamiento'!#REF!,AD185='G:\Plan Anticorrupción y Atenc al Ciudadano PAAC\2024\[8. Mapa Riesgos RRHH.xlsx]Opciones Tratamiento'!#REF!),ISBLANK(AD185),ISTEXT(AD185))</xm:f>
          </x14:formula1>
          <xm:sqref>AI185 AI187:AI190</xm:sqref>
        </x14:dataValidation>
        <x14:dataValidation type="custom" allowBlank="1" showInputMessage="1" showErrorMessage="1" error="Recuerde que las acciones se generan bajo la medida de mitigar el riesgo">
          <x14:formula1>
            <xm:f>IF(OR(AD185='G:\Plan Anticorrupción y Atenc al Ciudadano PAAC\2024\[8. Mapa Riesgos RRHH.xlsx]Opciones Tratamiento'!#REF!,AD185='G:\Plan Anticorrupción y Atenc al Ciudadano PAAC\2024\[8. Mapa Riesgos RRHH.xlsx]Opciones Tratamiento'!#REF!,AD185='G:\Plan Anticorrupción y Atenc al Ciudadano PAAC\2024\[8. Mapa Riesgos RRHH.xlsx]Opciones Tratamiento'!#REF!),ISBLANK(AD185),ISTEXT(AD185))</xm:f>
          </x14:formula1>
          <xm:sqref>AH185 AH187:AH190</xm:sqref>
        </x14:dataValidation>
        <x14:dataValidation type="custom" allowBlank="1" showInputMessage="1" showErrorMessage="1" error="Recuerde que las acciones se generan bajo la medida de mitigar el riesgo">
          <x14:formula1>
            <xm:f>IF(OR(AD185='G:\Plan Anticorrupción y Atenc al Ciudadano PAAC\2024\[8. Mapa Riesgos RRHH.xlsx]Opciones Tratamiento'!#REF!,AD185='G:\Plan Anticorrupción y Atenc al Ciudadano PAAC\2024\[8. Mapa Riesgos RRHH.xlsx]Opciones Tratamiento'!#REF!,AD185='G:\Plan Anticorrupción y Atenc al Ciudadano PAAC\2024\[8. Mapa Riesgos RRHH.xlsx]Opciones Tratamiento'!#REF!),ISBLANK(AD185),ISTEXT(AD185))</xm:f>
          </x14:formula1>
          <xm:sqref>AG185 AG187:AG190</xm:sqref>
        </x14:dataValidation>
        <x14:dataValidation type="custom" allowBlank="1" showInputMessage="1" showErrorMessage="1" error="Recuerde que las acciones se generan bajo la medida de mitigar el riesgo">
          <x14:formula1>
            <xm:f>IF(OR(AD185='G:\Plan Anticorrupción y Atenc al Ciudadano PAAC\2024\[8. Mapa Riesgos RRHH.xlsx]Opciones Tratamiento'!#REF!,AD185='G:\Plan Anticorrupción y Atenc al Ciudadano PAAC\2024\[8. Mapa Riesgos RRHH.xlsx]Opciones Tratamiento'!#REF!,AD185='G:\Plan Anticorrupción y Atenc al Ciudadano PAAC\2024\[8. Mapa Riesgos RRHH.xlsx]Opciones Tratamiento'!#REF!),ISBLANK(AD185),ISTEXT(AD185))</xm:f>
          </x14:formula1>
          <xm:sqref>AF185 AF187:AF190</xm:sqref>
        </x14:dataValidation>
        <x14:dataValidation type="custom" allowBlank="1" showInputMessage="1" showErrorMessage="1" error="Recuerde que las acciones se generan bajo la medida de mitigar el riesgo">
          <x14:formula1>
            <xm:f>IF(OR(AD185='G:\Plan Anticorrupción y Atenc al Ciudadano PAAC\2024\[8. Mapa Riesgos RRHH.xlsx]Opciones Tratamiento'!#REF!,AD185='G:\Plan Anticorrupción y Atenc al Ciudadano PAAC\2024\[8. Mapa Riesgos RRHH.xlsx]Opciones Tratamiento'!#REF!,AD185='G:\Plan Anticorrupción y Atenc al Ciudadano PAAC\2024\[8. Mapa Riesgos RRHH.xlsx]Opciones Tratamiento'!#REF!),ISBLANK(AD185),ISTEXT(AD185))</xm:f>
          </x14:formula1>
          <xm:sqref>AE185 AE187:AE190</xm:sqref>
        </x14:dataValidation>
        <x14:dataValidation type="list" allowBlank="1" showInputMessage="1" showErrorMessage="1">
          <x14:formula1>
            <xm:f>'G:\Plan Anticorrupción y Atenc al Ciudadano PAAC\2024\[8. Mapa Riesgos RRHH.xlsx]Opciones Tratamiento'!#REF!</xm:f>
          </x14:formula1>
          <xm:sqref>AD185 AD187:AD190</xm:sqref>
        </x14:dataValidation>
        <x14:dataValidation type="list" allowBlank="1" showInputMessage="1" showErrorMessage="1">
          <x14:formula1>
            <xm:f>'G:\Plan Anticorrupción y Atenc al Ciudadano PAAC\2024\[8. Mapa Riesgos RRHH.xlsx]Tabla Valoración controles'!#REF!</xm:f>
          </x14:formula1>
          <xm:sqref>W185 W187:W190</xm:sqref>
        </x14:dataValidation>
        <x14:dataValidation type="list" allowBlank="1" showInputMessage="1" showErrorMessage="1">
          <x14:formula1>
            <xm:f>'G:\Plan Anticorrupción y Atenc al Ciudadano PAAC\2024\[8. Mapa Riesgos RRHH.xlsx]Opciones Tratamiento'!#REF!</xm:f>
          </x14:formula1>
          <xm:sqref>AJ188:AJ189 AJ185</xm:sqref>
        </x14:dataValidation>
        <x14:dataValidation type="list" allowBlank="1" showInputMessage="1" showErrorMessage="1">
          <x14:formula1>
            <xm:f>'G:\Plan Anticorrupción y Atenc al Ciudadano PAAC\2024\[8. Mapa Riesgos RRHH.xlsx]Tabla Valoración controles'!#REF!</xm:f>
          </x14:formula1>
          <xm:sqref>V185 V187:V190</xm:sqref>
        </x14:dataValidation>
        <x14:dataValidation type="list" allowBlank="1" showInputMessage="1" showErrorMessage="1">
          <x14:formula1>
            <xm:f>'G:\Plan Anticorrupción y Atenc al Ciudadano PAAC\2024\[8. Mapa Riesgos RRHH.xlsx]Tabla Valoración controles'!#REF!</xm:f>
          </x14:formula1>
          <xm:sqref>U185 U187:U190</xm:sqref>
        </x14:dataValidation>
        <x14:dataValidation type="list" allowBlank="1" showInputMessage="1" showErrorMessage="1">
          <x14:formula1>
            <xm:f>'G:\Plan Anticorrupción y Atenc al Ciudadano PAAC\2024\[8. Mapa Riesgos RRHH.xlsx]Tabla Valoración controles'!#REF!</xm:f>
          </x14:formula1>
          <xm:sqref>S185 S187:S190</xm:sqref>
        </x14:dataValidation>
        <x14:dataValidation type="list" allowBlank="1" showInputMessage="1" showErrorMessage="1">
          <x14:formula1>
            <xm:f>'G:\Plan Anticorrupción y Atenc al Ciudadano PAAC\2024\[8. Mapa Riesgos RRHH.xlsx]Tabla Valoración controles'!#REF!</xm:f>
          </x14:formula1>
          <xm:sqref>R185 R187:R190</xm:sqref>
        </x14:dataValidation>
        <x14:dataValidation type="custom" allowBlank="1" showInputMessage="1" showErrorMessage="1" error="Recuerde que las acciones se generan bajo la medida de mitigar el riesgo">
          <x14:formula1>
            <xm:f>IF(OR(AD200='G:\Plan Anticorrupción y Atenc al Ciudadano PAAC\2024\[10. Mapa de Riesgos de Gestión - FC.xlsx]Opciones Tratamiento'!#REF!,AD200='G:\Plan Anticorrupción y Atenc al Ciudadano PAAC\2024\[10. Mapa de Riesgos de Gestión - FC.xlsx]Opciones Tratamiento'!#REF!,AD200='G:\Plan Anticorrupción y Atenc al Ciudadano PAAC\2024\[10. Mapa de Riesgos de Gestión - FC.xlsx]Opciones Tratamiento'!#REF!),ISBLANK(AD200),ISTEXT(AD200))</xm:f>
          </x14:formula1>
          <xm:sqref>AI200 AI202:AI206 AI208:AI229</xm:sqref>
        </x14:dataValidation>
        <x14:dataValidation type="custom" allowBlank="1" showInputMessage="1" showErrorMessage="1" error="Recuerde que las acciones se generan bajo la medida de mitigar el riesgo">
          <x14:formula1>
            <xm:f>IF(OR(AD200='G:\Plan Anticorrupción y Atenc al Ciudadano PAAC\2024\[10. Mapa de Riesgos de Gestión - FC.xlsx]Opciones Tratamiento'!#REF!,AD200='G:\Plan Anticorrupción y Atenc al Ciudadano PAAC\2024\[10. Mapa de Riesgos de Gestión - FC.xlsx]Opciones Tratamiento'!#REF!,AD200='G:\Plan Anticorrupción y Atenc al Ciudadano PAAC\2024\[10. Mapa de Riesgos de Gestión - FC.xlsx]Opciones Tratamiento'!#REF!),ISBLANK(AD200),ISTEXT(AD200))</xm:f>
          </x14:formula1>
          <xm:sqref>AH200 AH202:AH206 AH208:AH229</xm:sqref>
        </x14:dataValidation>
        <x14:dataValidation type="custom" allowBlank="1" showInputMessage="1" showErrorMessage="1" error="Recuerde que las acciones se generan bajo la medida de mitigar el riesgo">
          <x14:formula1>
            <xm:f>IF(OR(AD200='G:\Plan Anticorrupción y Atenc al Ciudadano PAAC\2024\[10. Mapa de Riesgos de Gestión - FC.xlsx]Opciones Tratamiento'!#REF!,AD200='G:\Plan Anticorrupción y Atenc al Ciudadano PAAC\2024\[10. Mapa de Riesgos de Gestión - FC.xlsx]Opciones Tratamiento'!#REF!,AD200='G:\Plan Anticorrupción y Atenc al Ciudadano PAAC\2024\[10. Mapa de Riesgos de Gestión - FC.xlsx]Opciones Tratamiento'!#REF!),ISBLANK(AD200),ISTEXT(AD200))</xm:f>
          </x14:formula1>
          <xm:sqref>AG200 AG202:AG206 AG208:AG229</xm:sqref>
        </x14:dataValidation>
        <x14:dataValidation type="custom" allowBlank="1" showInputMessage="1" showErrorMessage="1" error="Recuerde que las acciones se generan bajo la medida de mitigar el riesgo">
          <x14:formula1>
            <xm:f>IF(OR(AD200='G:\Plan Anticorrupción y Atenc al Ciudadano PAAC\2024\[10. Mapa de Riesgos de Gestión - FC.xlsx]Opciones Tratamiento'!#REF!,AD200='G:\Plan Anticorrupción y Atenc al Ciudadano PAAC\2024\[10. Mapa de Riesgos de Gestión - FC.xlsx]Opciones Tratamiento'!#REF!,AD200='G:\Plan Anticorrupción y Atenc al Ciudadano PAAC\2024\[10. Mapa de Riesgos de Gestión - FC.xlsx]Opciones Tratamiento'!#REF!),ISBLANK(AD200),ISTEXT(AD200))</xm:f>
          </x14:formula1>
          <xm:sqref>AF200 AF202:AF206 AF208:AF229</xm:sqref>
        </x14:dataValidation>
        <x14:dataValidation type="custom" allowBlank="1" showInputMessage="1" showErrorMessage="1" error="Recuerde que las acciones se generan bajo la medida de mitigar el riesgo">
          <x14:formula1>
            <xm:f>IF(OR(AD200='G:\Plan Anticorrupción y Atenc al Ciudadano PAAC\2024\[10. Mapa de Riesgos de Gestión - FC.xlsx]Opciones Tratamiento'!#REF!,AD200='G:\Plan Anticorrupción y Atenc al Ciudadano PAAC\2024\[10. Mapa de Riesgos de Gestión - FC.xlsx]Opciones Tratamiento'!#REF!,AD200='G:\Plan Anticorrupción y Atenc al Ciudadano PAAC\2024\[10. Mapa de Riesgos de Gestión - FC.xlsx]Opciones Tratamiento'!#REF!),ISBLANK(AD200),ISTEXT(AD200))</xm:f>
          </x14:formula1>
          <xm:sqref>AE200 AE202:AE206 AE208:AE229</xm:sqref>
        </x14:dataValidation>
        <x14:dataValidation type="list" allowBlank="1" showInputMessage="1" showErrorMessage="1">
          <x14:formula1>
            <xm:f>'G:\Plan Anticorrupción y Atenc al Ciudadano PAAC\2024\[10. Mapa de Riesgos de Gestión - FC.xlsx]Tabla Impacto'!#REF!</xm:f>
          </x14:formula1>
          <xm:sqref>J200:J229</xm:sqref>
        </x14:dataValidation>
        <x14:dataValidation type="list" allowBlank="1" showInputMessage="1" showErrorMessage="1">
          <x14:formula1>
            <xm:f>'G:\Plan Anticorrupción y Atenc al Ciudadano PAAC\2024\[10. Mapa de Riesgos de Gestión - FC.xlsx]Opciones Tratamiento'!#REF!</xm:f>
          </x14:formula1>
          <xm:sqref>AD200 AD202:AD212 AD214:AD229</xm:sqref>
        </x14:dataValidation>
        <x14:dataValidation type="list" allowBlank="1" showInputMessage="1" showErrorMessage="1">
          <x14:formula1>
            <xm:f>'G:\Plan Anticorrupción y Atenc al Ciudadano PAAC\2024\[10. Mapa de Riesgos de Gestión - FC.xlsx]Opciones Tratamiento'!#REF!</xm:f>
          </x14:formula1>
          <xm:sqref>B200:B229</xm:sqref>
        </x14:dataValidation>
        <x14:dataValidation type="list" allowBlank="1" showInputMessage="1" showErrorMessage="1">
          <x14:formula1>
            <xm:f>'G:\Plan Anticorrupción y Atenc al Ciudadano PAAC\2024\[10. Mapa de Riesgos de Gestión - FC.xlsx]Opciones Tratamiento'!#REF!</xm:f>
          </x14:formula1>
          <xm:sqref>F200:F229</xm:sqref>
        </x14:dataValidation>
        <x14:dataValidation type="list" allowBlank="1" showInputMessage="1" showErrorMessage="1">
          <x14:formula1>
            <xm:f>'G:\Plan Anticorrupción y Atenc al Ciudadano PAAC\2024\[10. Mapa de Riesgos de Gestión - FC.xlsx]Tabla Valoración controles'!#REF!</xm:f>
          </x14:formula1>
          <xm:sqref>W200 W202:W212 W214:W229</xm:sqref>
        </x14:dataValidation>
        <x14:dataValidation type="list" allowBlank="1" showInputMessage="1" showErrorMessage="1">
          <x14:formula1>
            <xm:f>'G:\Plan Anticorrupción y Atenc al Ciudadano PAAC\2024\[10. Mapa de Riesgos de Gestión - FC.xlsx]Opciones Tratamiento'!#REF!</xm:f>
          </x14:formula1>
          <xm:sqref>AJ203:AJ204 AJ200 AJ209:AJ210 AJ212:AJ213 AJ215:AJ216 AJ218:AJ219 AJ221:AJ222 AJ224:AJ225 AJ227:AJ228 AJ206</xm:sqref>
        </x14:dataValidation>
        <x14:dataValidation type="list" allowBlank="1" showInputMessage="1" showErrorMessage="1">
          <x14:formula1>
            <xm:f>'G:\Plan Anticorrupción y Atenc al Ciudadano PAAC\2024\[10. Mapa de Riesgos de Gestión - FC.xlsx]Tabla Valoración controles'!#REF!</xm:f>
          </x14:formula1>
          <xm:sqref>V200 V202:V212 V214:V229</xm:sqref>
        </x14:dataValidation>
        <x14:dataValidation type="list" allowBlank="1" showInputMessage="1" showErrorMessage="1">
          <x14:formula1>
            <xm:f>'G:\Plan Anticorrupción y Atenc al Ciudadano PAAC\2024\[10. Mapa de Riesgos de Gestión - FC.xlsx]Tabla Valoración controles'!#REF!</xm:f>
          </x14:formula1>
          <xm:sqref>U200 U202:U212 U214:U229</xm:sqref>
        </x14:dataValidation>
        <x14:dataValidation type="list" allowBlank="1" showInputMessage="1" showErrorMessage="1">
          <x14:formula1>
            <xm:f>'G:\Plan Anticorrupción y Atenc al Ciudadano PAAC\2024\[10. Mapa de Riesgos de Gestión - FC.xlsx]Tabla Valoración controles'!#REF!</xm:f>
          </x14:formula1>
          <xm:sqref>S200 S202:S212 S214:S229</xm:sqref>
        </x14:dataValidation>
        <x14:dataValidation type="list" allowBlank="1" showInputMessage="1" showErrorMessage="1">
          <x14:formula1>
            <xm:f>'G:\Plan Anticorrupción y Atenc al Ciudadano PAAC\2024\[10. Mapa de Riesgos de Gestión - FC.xlsx]Tabla Valoración controles'!#REF!</xm:f>
          </x14:formula1>
          <xm:sqref>R200 R202:R212 R214:R229</xm:sqref>
        </x14:dataValidation>
        <x14:dataValidation type="custom" allowBlank="1" showInputMessage="1" showErrorMessage="1" error="Recuerde que las acciones se generan bajo la medida de mitigar el riesgo">
          <x14:formula1>
            <xm:f>IF(OR(AD238='G:\Plan Anticorrupción y Atenc al Ciudadano PAAC\2024\[11. Mapa de Riesgos de Gestion -FI.xlsx]Opciones Tratamiento'!#REF!,AD238='G:\Plan Anticorrupción y Atenc al Ciudadano PAAC\2024\[11. Mapa de Riesgos de Gestion -FI.xlsx]Opciones Tratamiento'!#REF!,AD238='G:\Plan Anticorrupción y Atenc al Ciudadano PAAC\2024\[11. Mapa de Riesgos de Gestion -FI.xlsx]Opciones Tratamiento'!#REF!),ISBLANK(AD238),ISTEXT(AD238))</xm:f>
          </x14:formula1>
          <xm:sqref>AI238 AI240:AI244 AI246:AI267</xm:sqref>
        </x14:dataValidation>
        <x14:dataValidation type="custom" allowBlank="1" showInputMessage="1" showErrorMessage="1" error="Recuerde que las acciones se generan bajo la medida de mitigar el riesgo">
          <x14:formula1>
            <xm:f>IF(OR(AD238='G:\Plan Anticorrupción y Atenc al Ciudadano PAAC\2024\[11. Mapa de Riesgos de Gestion -FI.xlsx]Opciones Tratamiento'!#REF!,AD238='G:\Plan Anticorrupción y Atenc al Ciudadano PAAC\2024\[11. Mapa de Riesgos de Gestion -FI.xlsx]Opciones Tratamiento'!#REF!,AD238='G:\Plan Anticorrupción y Atenc al Ciudadano PAAC\2024\[11. Mapa de Riesgos de Gestion -FI.xlsx]Opciones Tratamiento'!#REF!),ISBLANK(AD238),ISTEXT(AD238))</xm:f>
          </x14:formula1>
          <xm:sqref>AH238 AH240:AH244 AH246:AH267</xm:sqref>
        </x14:dataValidation>
        <x14:dataValidation type="custom" allowBlank="1" showInputMessage="1" showErrorMessage="1" error="Recuerde que las acciones se generan bajo la medida de mitigar el riesgo">
          <x14:formula1>
            <xm:f>IF(OR(AD238='G:\Plan Anticorrupción y Atenc al Ciudadano PAAC\2024\[11. Mapa de Riesgos de Gestion -FI.xlsx]Opciones Tratamiento'!#REF!,AD238='G:\Plan Anticorrupción y Atenc al Ciudadano PAAC\2024\[11. Mapa de Riesgos de Gestion -FI.xlsx]Opciones Tratamiento'!#REF!,AD238='G:\Plan Anticorrupción y Atenc al Ciudadano PAAC\2024\[11. Mapa de Riesgos de Gestion -FI.xlsx]Opciones Tratamiento'!#REF!),ISBLANK(AD238),ISTEXT(AD238))</xm:f>
          </x14:formula1>
          <xm:sqref>AG238 AG240:AG244 AG246:AG267</xm:sqref>
        </x14:dataValidation>
        <x14:dataValidation type="custom" allowBlank="1" showInputMessage="1" showErrorMessage="1" error="Recuerde que las acciones se generan bajo la medida de mitigar el riesgo">
          <x14:formula1>
            <xm:f>IF(OR(AD238='G:\Plan Anticorrupción y Atenc al Ciudadano PAAC\2024\[11. Mapa de Riesgos de Gestion -FI.xlsx]Opciones Tratamiento'!#REF!,AD238='G:\Plan Anticorrupción y Atenc al Ciudadano PAAC\2024\[11. Mapa de Riesgos de Gestion -FI.xlsx]Opciones Tratamiento'!#REF!,AD238='G:\Plan Anticorrupción y Atenc al Ciudadano PAAC\2024\[11. Mapa de Riesgos de Gestion -FI.xlsx]Opciones Tratamiento'!#REF!),ISBLANK(AD238),ISTEXT(AD238))</xm:f>
          </x14:formula1>
          <xm:sqref>AF238 AF240:AF244 AF246:AF267</xm:sqref>
        </x14:dataValidation>
        <x14:dataValidation type="custom" allowBlank="1" showInputMessage="1" showErrorMessage="1" error="Recuerde que las acciones se generan bajo la medida de mitigar el riesgo">
          <x14:formula1>
            <xm:f>IF(OR(AD238='G:\Plan Anticorrupción y Atenc al Ciudadano PAAC\2024\[11. Mapa de Riesgos de Gestion -FI.xlsx]Opciones Tratamiento'!#REF!,AD238='G:\Plan Anticorrupción y Atenc al Ciudadano PAAC\2024\[11. Mapa de Riesgos de Gestion -FI.xlsx]Opciones Tratamiento'!#REF!,AD238='G:\Plan Anticorrupción y Atenc al Ciudadano PAAC\2024\[11. Mapa de Riesgos de Gestion -FI.xlsx]Opciones Tratamiento'!#REF!),ISBLANK(AD238),ISTEXT(AD238))</xm:f>
          </x14:formula1>
          <xm:sqref>AE238 AE240:AE244 AE246:AE267</xm:sqref>
        </x14:dataValidation>
        <x14:dataValidation type="list" allowBlank="1" showInputMessage="1" showErrorMessage="1">
          <x14:formula1>
            <xm:f>'G:\Plan Anticorrupción y Atenc al Ciudadano PAAC\2024\[11. Mapa de Riesgos de Gestion -FI.xlsx]Tabla Impacto'!#REF!</xm:f>
          </x14:formula1>
          <xm:sqref>J238:J267</xm:sqref>
        </x14:dataValidation>
        <x14:dataValidation type="list" allowBlank="1" showInputMessage="1" showErrorMessage="1">
          <x14:formula1>
            <xm:f>'G:\Plan Anticorrupción y Atenc al Ciudadano PAAC\2024\[11. Mapa de Riesgos de Gestion -FI.xlsx]Opciones Tratamiento'!#REF!</xm:f>
          </x14:formula1>
          <xm:sqref>AD238 AD240:AD244 AD246:AD250 AD252:AD256 AD258:AD267</xm:sqref>
        </x14:dataValidation>
        <x14:dataValidation type="list" allowBlank="1" showInputMessage="1" showErrorMessage="1">
          <x14:formula1>
            <xm:f>'G:\Plan Anticorrupción y Atenc al Ciudadano PAAC\2024\[11. Mapa de Riesgos de Gestion -FI.xlsx]Opciones Tratamiento'!#REF!</xm:f>
          </x14:formula1>
          <xm:sqref>B238:B267</xm:sqref>
        </x14:dataValidation>
        <x14:dataValidation type="list" allowBlank="1" showInputMessage="1" showErrorMessage="1">
          <x14:formula1>
            <xm:f>'G:\Plan Anticorrupción y Atenc al Ciudadano PAAC\2024\[11. Mapa de Riesgos de Gestion -FI.xlsx]Opciones Tratamiento'!#REF!</xm:f>
          </x14:formula1>
          <xm:sqref>F238:F267</xm:sqref>
        </x14:dataValidation>
        <x14:dataValidation type="list" allowBlank="1" showInputMessage="1" showErrorMessage="1">
          <x14:formula1>
            <xm:f>'G:\Plan Anticorrupción y Atenc al Ciudadano PAAC\2024\[11. Mapa de Riesgos de Gestion -FI.xlsx]Tabla Valoración controles'!#REF!</xm:f>
          </x14:formula1>
          <xm:sqref>W238 W240:W244 W246:W250 W252:W256 W258:W267</xm:sqref>
        </x14:dataValidation>
        <x14:dataValidation type="list" allowBlank="1" showInputMessage="1" showErrorMessage="1">
          <x14:formula1>
            <xm:f>'G:\Plan Anticorrupción y Atenc al Ciudadano PAAC\2024\[11. Mapa de Riesgos de Gestion -FI.xlsx]Opciones Tratamiento'!#REF!</xm:f>
          </x14:formula1>
          <xm:sqref>AJ241:AJ242 AJ238 AJ247:AJ248 AJ250:AJ251 AJ253:AJ254 AJ256:AJ257 AJ259:AJ260 AJ262:AJ263 AJ265:AJ266 AJ244</xm:sqref>
        </x14:dataValidation>
        <x14:dataValidation type="list" allowBlank="1" showInputMessage="1" showErrorMessage="1">
          <x14:formula1>
            <xm:f>'G:\Plan Anticorrupción y Atenc al Ciudadano PAAC\2024\[11. Mapa de Riesgos de Gestion -FI.xlsx]Tabla Valoración controles'!#REF!</xm:f>
          </x14:formula1>
          <xm:sqref>V238 V240:V244 V246:V250 V252:V256 V258:V267</xm:sqref>
        </x14:dataValidation>
        <x14:dataValidation type="list" allowBlank="1" showInputMessage="1" showErrorMessage="1">
          <x14:formula1>
            <xm:f>'G:\Plan Anticorrupción y Atenc al Ciudadano PAAC\2024\[11. Mapa de Riesgos de Gestion -FI.xlsx]Tabla Valoración controles'!#REF!</xm:f>
          </x14:formula1>
          <xm:sqref>U238 U240:U244 U246:U250 U252:U256 U258:U267</xm:sqref>
        </x14:dataValidation>
        <x14:dataValidation type="list" allowBlank="1" showInputMessage="1" showErrorMessage="1">
          <x14:formula1>
            <xm:f>'G:\Plan Anticorrupción y Atenc al Ciudadano PAAC\2024\[11. Mapa de Riesgos de Gestion -FI.xlsx]Tabla Valoración controles'!#REF!</xm:f>
          </x14:formula1>
          <xm:sqref>S238 S240:S244 S246:S250 S252:S256 S258:S267</xm:sqref>
        </x14:dataValidation>
        <x14:dataValidation type="list" allowBlank="1" showInputMessage="1" showErrorMessage="1">
          <x14:formula1>
            <xm:f>'G:\Plan Anticorrupción y Atenc al Ciudadano PAAC\2024\[11. Mapa de Riesgos de Gestion -FI.xlsx]Tabla Valoración controles'!#REF!</xm:f>
          </x14:formula1>
          <xm:sqref>R238 R240:R244 R246:R250 R252:R256 R258:R267</xm:sqref>
        </x14:dataValidation>
        <x14:dataValidation type="list" allowBlank="1" showInputMessage="1" showErrorMessage="1">
          <x14:formula1>
            <xm:f>'G:\Plan Anticorrupción y Atenc al Ciudadano PAAC\2024\[12. Mapa Riesgos Gestion de Emisión y Trasmision.xlsx]Tabla Impacto'!#REF!</xm:f>
          </x14:formula1>
          <xm:sqref>J276:J277</xm:sqref>
        </x14:dataValidation>
        <x14:dataValidation type="list" allowBlank="1" showInputMessage="1" showErrorMessage="1">
          <x14:formula1>
            <xm:f>'G:\Plan Anticorrupción y Atenc al Ciudadano PAAC\2024\[12. Mapa Riesgos Gestion de Emisión y Trasmision.xlsx]Opciones Tratamiento'!#REF!</xm:f>
          </x14:formula1>
          <xm:sqref>B276:B277</xm:sqref>
        </x14:dataValidation>
        <x14:dataValidation type="list" allowBlank="1" showInputMessage="1" showErrorMessage="1">
          <x14:formula1>
            <xm:f>'G:\Plan Anticorrupción y Atenc al Ciudadano PAAC\2024\[12. Mapa Riesgos Gestion de Emisión y Trasmision.xlsx]Opciones Tratamiento'!#REF!</xm:f>
          </x14:formula1>
          <xm:sqref>F276:F277</xm:sqref>
        </x14:dataValidation>
        <x14:dataValidation type="custom" allowBlank="1" showInputMessage="1" showErrorMessage="1" error="Recuerde que las acciones se generan bajo la medida de mitigar el riesgo">
          <x14:formula1>
            <xm:f>IF(OR(AD276='G:\Plan Anticorrupción y Atenc al Ciudadano PAAC\2024\[12. Mapa Riesgos Gestion de Emisión y Trasmision.xlsx]Opciones Tratamiento'!#REF!,AD276='G:\Plan Anticorrupción y Atenc al Ciudadano PAAC\2024\[12. Mapa Riesgos Gestion de Emisión y Trasmision.xlsx]Opciones Tratamiento'!#REF!,AD276='G:\Plan Anticorrupción y Atenc al Ciudadano PAAC\2024\[12. Mapa Riesgos Gestion de Emisión y Trasmision.xlsx]Opciones Tratamiento'!#REF!),ISBLANK(AD276),ISTEXT(AD276))</xm:f>
          </x14:formula1>
          <xm:sqref>AI276</xm:sqref>
        </x14:dataValidation>
        <x14:dataValidation type="custom" allowBlank="1" showInputMessage="1" showErrorMessage="1" error="Recuerde que las acciones se generan bajo la medida de mitigar el riesgo">
          <x14:formula1>
            <xm:f>IF(OR(AD276='G:\Plan Anticorrupción y Atenc al Ciudadano PAAC\2024\[12. Mapa Riesgos Gestion de Emisión y Trasmision.xlsx]Opciones Tratamiento'!#REF!,AD276='G:\Plan Anticorrupción y Atenc al Ciudadano PAAC\2024\[12. Mapa Riesgos Gestion de Emisión y Trasmision.xlsx]Opciones Tratamiento'!#REF!,AD276='G:\Plan Anticorrupción y Atenc al Ciudadano PAAC\2024\[12. Mapa Riesgos Gestion de Emisión y Trasmision.xlsx]Opciones Tratamiento'!#REF!),ISBLANK(AD276),ISTEXT(AD276))</xm:f>
          </x14:formula1>
          <xm:sqref>AH276</xm:sqref>
        </x14:dataValidation>
        <x14:dataValidation type="custom" allowBlank="1" showInputMessage="1" showErrorMessage="1" error="Recuerde que las acciones se generan bajo la medida de mitigar el riesgo">
          <x14:formula1>
            <xm:f>IF(OR(AD276='G:\Plan Anticorrupción y Atenc al Ciudadano PAAC\2024\[12. Mapa Riesgos Gestion de Emisión y Trasmision.xlsx]Opciones Tratamiento'!#REF!,AD276='G:\Plan Anticorrupción y Atenc al Ciudadano PAAC\2024\[12. Mapa Riesgos Gestion de Emisión y Trasmision.xlsx]Opciones Tratamiento'!#REF!,AD276='G:\Plan Anticorrupción y Atenc al Ciudadano PAAC\2024\[12. Mapa Riesgos Gestion de Emisión y Trasmision.xlsx]Opciones Tratamiento'!#REF!),ISBLANK(AD276),ISTEXT(AD276))</xm:f>
          </x14:formula1>
          <xm:sqref>AG276</xm:sqref>
        </x14:dataValidation>
        <x14:dataValidation type="custom" allowBlank="1" showInputMessage="1" showErrorMessage="1" error="Recuerde que las acciones se generan bajo la medida de mitigar el riesgo">
          <x14:formula1>
            <xm:f>IF(OR(AD276='G:\Plan Anticorrupción y Atenc al Ciudadano PAAC\2024\[12. Mapa Riesgos Gestion de Emisión y Trasmision.xlsx]Opciones Tratamiento'!#REF!,AD276='G:\Plan Anticorrupción y Atenc al Ciudadano PAAC\2024\[12. Mapa Riesgos Gestion de Emisión y Trasmision.xlsx]Opciones Tratamiento'!#REF!,AD276='G:\Plan Anticorrupción y Atenc al Ciudadano PAAC\2024\[12. Mapa Riesgos Gestion de Emisión y Trasmision.xlsx]Opciones Tratamiento'!#REF!),ISBLANK(AD276),ISTEXT(AD276))</xm:f>
          </x14:formula1>
          <xm:sqref>AF276</xm:sqref>
        </x14:dataValidation>
        <x14:dataValidation type="custom" allowBlank="1" showInputMessage="1" showErrorMessage="1" error="Recuerde que las acciones se generan bajo la medida de mitigar el riesgo">
          <x14:formula1>
            <xm:f>IF(OR(AD276='G:\Plan Anticorrupción y Atenc al Ciudadano PAAC\2024\[12. Mapa Riesgos Gestion de Emisión y Trasmision.xlsx]Opciones Tratamiento'!#REF!,AD276='G:\Plan Anticorrupción y Atenc al Ciudadano PAAC\2024\[12. Mapa Riesgos Gestion de Emisión y Trasmision.xlsx]Opciones Tratamiento'!#REF!,AD276='G:\Plan Anticorrupción y Atenc al Ciudadano PAAC\2024\[12. Mapa Riesgos Gestion de Emisión y Trasmision.xlsx]Opciones Tratamiento'!#REF!),ISBLANK(AD276),ISTEXT(AD276))</xm:f>
          </x14:formula1>
          <xm:sqref>AE276</xm:sqref>
        </x14:dataValidation>
        <x14:dataValidation type="list" allowBlank="1" showInputMessage="1" showErrorMessage="1">
          <x14:formula1>
            <xm:f>'G:\Plan Anticorrupción y Atenc al Ciudadano PAAC\2024\[12. Mapa Riesgos Gestion de Emisión y Trasmision.xlsx]Opciones Tratamiento'!#REF!</xm:f>
          </x14:formula1>
          <xm:sqref>AD276</xm:sqref>
        </x14:dataValidation>
        <x14:dataValidation type="list" allowBlank="1" showInputMessage="1" showErrorMessage="1">
          <x14:formula1>
            <xm:f>'G:\Plan Anticorrupción y Atenc al Ciudadano PAAC\2024\[12. Mapa Riesgos Gestion de Emisión y Trasmision.xlsx]Tabla Valoración controles'!#REF!</xm:f>
          </x14:formula1>
          <xm:sqref>W276</xm:sqref>
        </x14:dataValidation>
        <x14:dataValidation type="list" allowBlank="1" showInputMessage="1" showErrorMessage="1">
          <x14:formula1>
            <xm:f>'G:\Plan Anticorrupción y Atenc al Ciudadano PAAC\2024\[12. Mapa Riesgos Gestion de Emisión y Trasmision.xlsx]Opciones Tratamiento'!#REF!</xm:f>
          </x14:formula1>
          <xm:sqref>AJ276</xm:sqref>
        </x14:dataValidation>
        <x14:dataValidation type="list" allowBlank="1" showInputMessage="1" showErrorMessage="1">
          <x14:formula1>
            <xm:f>'G:\Plan Anticorrupción y Atenc al Ciudadano PAAC\2024\[12. Mapa Riesgos Gestion de Emisión y Trasmision.xlsx]Tabla Valoración controles'!#REF!</xm:f>
          </x14:formula1>
          <xm:sqref>V276</xm:sqref>
        </x14:dataValidation>
        <x14:dataValidation type="list" allowBlank="1" showInputMessage="1" showErrorMessage="1">
          <x14:formula1>
            <xm:f>'G:\Plan Anticorrupción y Atenc al Ciudadano PAAC\2024\[12. Mapa Riesgos Gestion de Emisión y Trasmision.xlsx]Tabla Valoración controles'!#REF!</xm:f>
          </x14:formula1>
          <xm:sqref>U276</xm:sqref>
        </x14:dataValidation>
        <x14:dataValidation type="list" allowBlank="1" showInputMessage="1" showErrorMessage="1">
          <x14:formula1>
            <xm:f>'G:\Plan Anticorrupción y Atenc al Ciudadano PAAC\2024\[12. Mapa Riesgos Gestion de Emisión y Trasmision.xlsx]Tabla Valoración controles'!#REF!</xm:f>
          </x14:formula1>
          <xm:sqref>S276</xm:sqref>
        </x14:dataValidation>
        <x14:dataValidation type="list" allowBlank="1" showInputMessage="1" showErrorMessage="1">
          <x14:formula1>
            <xm:f>'G:\Plan Anticorrupción y Atenc al Ciudadano PAAC\2024\[12. Mapa Riesgos Gestion de Emisión y Trasmision.xlsx]Tabla Valoración controles'!#REF!</xm:f>
          </x14:formula1>
          <xm:sqref>R276</xm:sqref>
        </x14:dataValidation>
        <x14:dataValidation type="list" allowBlank="1" showInputMessage="1" showErrorMessage="1">
          <x14:formula1>
            <xm:f>'G:\Plan Anticorrupción y Atenc al Ciudadano PAAC\2024\[13. Mapa Riesgos Operativa y Tecno.xlsx]Tabla Impacto'!#REF!</xm:f>
          </x14:formula1>
          <xm:sqref>J287:J292</xm:sqref>
        </x14:dataValidation>
        <x14:dataValidation type="list" allowBlank="1" showInputMessage="1" showErrorMessage="1">
          <x14:formula1>
            <xm:f>'G:\Plan Anticorrupción y Atenc al Ciudadano PAAC\2024\[13. Mapa Riesgos Operativa y Tecno.xlsx]Opciones Tratamiento'!#REF!</xm:f>
          </x14:formula1>
          <xm:sqref>B287:B292</xm:sqref>
        </x14:dataValidation>
        <x14:dataValidation type="list" allowBlank="1" showInputMessage="1" showErrorMessage="1">
          <x14:formula1>
            <xm:f>'G:\Plan Anticorrupción y Atenc al Ciudadano PAAC\2024\[13. Mapa Riesgos Operativa y Tecno.xlsx]Opciones Tratamiento'!#REF!</xm:f>
          </x14:formula1>
          <xm:sqref>F287:F292</xm:sqref>
        </x14:dataValidation>
        <x14:dataValidation type="custom" allowBlank="1" showInputMessage="1" showErrorMessage="1" error="Recuerde que las acciones se generan bajo la medida de mitigar el riesgo">
          <x14:formula1>
            <xm:f>IF(OR(AD287='G:\Plan Anticorrupción y Atenc al Ciudadano PAAC\2024\[13. Mapa Riesgos Operativa y Tecno.xlsx]Opciones Tratamiento'!#REF!,AD287='G:\Plan Anticorrupción y Atenc al Ciudadano PAAC\2024\[13. Mapa Riesgos Operativa y Tecno.xlsx]Opciones Tratamiento'!#REF!,AD287='G:\Plan Anticorrupción y Atenc al Ciudadano PAAC\2024\[13. Mapa Riesgos Operativa y Tecno.xlsx]Opciones Tratamiento'!#REF!),ISBLANK(AD287),ISTEXT(AD287))</xm:f>
          </x14:formula1>
          <xm:sqref>AI287 AI289:AI292</xm:sqref>
        </x14:dataValidation>
        <x14:dataValidation type="custom" allowBlank="1" showInputMessage="1" showErrorMessage="1" error="Recuerde que las acciones se generan bajo la medida de mitigar el riesgo">
          <x14:formula1>
            <xm:f>IF(OR(AD287='G:\Plan Anticorrupción y Atenc al Ciudadano PAAC\2024\[13. Mapa Riesgos Operativa y Tecno.xlsx]Opciones Tratamiento'!#REF!,AD287='G:\Plan Anticorrupción y Atenc al Ciudadano PAAC\2024\[13. Mapa Riesgos Operativa y Tecno.xlsx]Opciones Tratamiento'!#REF!,AD287='G:\Plan Anticorrupción y Atenc al Ciudadano PAAC\2024\[13. Mapa Riesgos Operativa y Tecno.xlsx]Opciones Tratamiento'!#REF!),ISBLANK(AD287),ISTEXT(AD287))</xm:f>
          </x14:formula1>
          <xm:sqref>AH287 AH289:AH292</xm:sqref>
        </x14:dataValidation>
        <x14:dataValidation type="custom" allowBlank="1" showInputMessage="1" showErrorMessage="1" error="Recuerde que las acciones se generan bajo la medida de mitigar el riesgo">
          <x14:formula1>
            <xm:f>IF(OR(AD287='G:\Plan Anticorrupción y Atenc al Ciudadano PAAC\2024\[13. Mapa Riesgos Operativa y Tecno.xlsx]Opciones Tratamiento'!#REF!,AD287='G:\Plan Anticorrupción y Atenc al Ciudadano PAAC\2024\[13. Mapa Riesgos Operativa y Tecno.xlsx]Opciones Tratamiento'!#REF!,AD287='G:\Plan Anticorrupción y Atenc al Ciudadano PAAC\2024\[13. Mapa Riesgos Operativa y Tecno.xlsx]Opciones Tratamiento'!#REF!),ISBLANK(AD287),ISTEXT(AD287))</xm:f>
          </x14:formula1>
          <xm:sqref>AG287 AG289:AG292</xm:sqref>
        </x14:dataValidation>
        <x14:dataValidation type="custom" allowBlank="1" showInputMessage="1" showErrorMessage="1" error="Recuerde que las acciones se generan bajo la medida de mitigar el riesgo">
          <x14:formula1>
            <xm:f>IF(OR(AD287='G:\Plan Anticorrupción y Atenc al Ciudadano PAAC\2024\[13. Mapa Riesgos Operativa y Tecno.xlsx]Opciones Tratamiento'!#REF!,AD287='G:\Plan Anticorrupción y Atenc al Ciudadano PAAC\2024\[13. Mapa Riesgos Operativa y Tecno.xlsx]Opciones Tratamiento'!#REF!,AD287='G:\Plan Anticorrupción y Atenc al Ciudadano PAAC\2024\[13. Mapa Riesgos Operativa y Tecno.xlsx]Opciones Tratamiento'!#REF!),ISBLANK(AD287),ISTEXT(AD287))</xm:f>
          </x14:formula1>
          <xm:sqref>AF287 AF289:AF292</xm:sqref>
        </x14:dataValidation>
        <x14:dataValidation type="custom" allowBlank="1" showInputMessage="1" showErrorMessage="1" error="Recuerde que las acciones se generan bajo la medida de mitigar el riesgo">
          <x14:formula1>
            <xm:f>IF(OR(AD287='G:\Plan Anticorrupción y Atenc al Ciudadano PAAC\2024\[13. Mapa Riesgos Operativa y Tecno.xlsx]Opciones Tratamiento'!#REF!,AD287='G:\Plan Anticorrupción y Atenc al Ciudadano PAAC\2024\[13. Mapa Riesgos Operativa y Tecno.xlsx]Opciones Tratamiento'!#REF!,AD287='G:\Plan Anticorrupción y Atenc al Ciudadano PAAC\2024\[13. Mapa Riesgos Operativa y Tecno.xlsx]Opciones Tratamiento'!#REF!),ISBLANK(AD287),ISTEXT(AD287))</xm:f>
          </x14:formula1>
          <xm:sqref>AE287 AE289:AE292</xm:sqref>
        </x14:dataValidation>
        <x14:dataValidation type="list" allowBlank="1" showInputMessage="1" showErrorMessage="1">
          <x14:formula1>
            <xm:f>'G:\Plan Anticorrupción y Atenc al Ciudadano PAAC\2024\[13. Mapa Riesgos Operativa y Tecno.xlsx]Opciones Tratamiento'!#REF!</xm:f>
          </x14:formula1>
          <xm:sqref>AD287 AD289:AD292</xm:sqref>
        </x14:dataValidation>
        <x14:dataValidation type="list" allowBlank="1" showInputMessage="1" showErrorMessage="1">
          <x14:formula1>
            <xm:f>'G:\Plan Anticorrupción y Atenc al Ciudadano PAAC\2024\[13. Mapa Riesgos Operativa y Tecno.xlsx]Tabla Valoración controles'!#REF!</xm:f>
          </x14:formula1>
          <xm:sqref>W287 W289:W292</xm:sqref>
        </x14:dataValidation>
        <x14:dataValidation type="list" allowBlank="1" showInputMessage="1" showErrorMessage="1">
          <x14:formula1>
            <xm:f>'G:\Plan Anticorrupción y Atenc al Ciudadano PAAC\2024\[13. Mapa Riesgos Operativa y Tecno.xlsx]Opciones Tratamiento'!#REF!</xm:f>
          </x14:formula1>
          <xm:sqref>AJ290:AJ291 AJ287</xm:sqref>
        </x14:dataValidation>
        <x14:dataValidation type="list" allowBlank="1" showInputMessage="1" showErrorMessage="1">
          <x14:formula1>
            <xm:f>'G:\Plan Anticorrupción y Atenc al Ciudadano PAAC\2024\[13. Mapa Riesgos Operativa y Tecno.xlsx]Tabla Valoración controles'!#REF!</xm:f>
          </x14:formula1>
          <xm:sqref>V287 V289:V292</xm:sqref>
        </x14:dataValidation>
        <x14:dataValidation type="list" allowBlank="1" showInputMessage="1" showErrorMessage="1">
          <x14:formula1>
            <xm:f>'G:\Plan Anticorrupción y Atenc al Ciudadano PAAC\2024\[13. Mapa Riesgos Operativa y Tecno.xlsx]Tabla Valoración controles'!#REF!</xm:f>
          </x14:formula1>
          <xm:sqref>U287 U289:U292</xm:sqref>
        </x14:dataValidation>
        <x14:dataValidation type="list" allowBlank="1" showInputMessage="1" showErrorMessage="1">
          <x14:formula1>
            <xm:f>'G:\Plan Anticorrupción y Atenc al Ciudadano PAAC\2024\[13. Mapa Riesgos Operativa y Tecno.xlsx]Tabla Valoración controles'!#REF!</xm:f>
          </x14:formula1>
          <xm:sqref>S287 S289:S292</xm:sqref>
        </x14:dataValidation>
        <x14:dataValidation type="list" allowBlank="1" showInputMessage="1" showErrorMessage="1">
          <x14:formula1>
            <xm:f>'G:\Plan Anticorrupción y Atenc al Ciudadano PAAC\2024\[13. Mapa Riesgos Operativa y Tecno.xlsx]Tabla Valoración controles'!#REF!</xm:f>
          </x14:formula1>
          <xm:sqref>R287 R289:R292</xm:sqref>
        </x14:dataValidation>
        <x14:dataValidation type="custom" allowBlank="1" showInputMessage="1" showErrorMessage="1" error="Recuerde que las acciones se generan bajo la medida de mitigar el riesgo">
          <x14:formula1>
            <xm:f>IF(OR(AD301='G:\Plan Anticorrupción y Atenc al Ciudadano PAAC\2024\[14. Mapa de Riesgos Gestion Legal.xlsx]Opciones Tratamiento'!#REF!,AD301='G:\Plan Anticorrupción y Atenc al Ciudadano PAAC\2024\[14. Mapa de Riesgos Gestion Legal.xlsx]Opciones Tratamiento'!#REF!,AD301='G:\Plan Anticorrupción y Atenc al Ciudadano PAAC\2024\[14. Mapa de Riesgos Gestion Legal.xlsx]Opciones Tratamiento'!#REF!),ISBLANK(AD301),ISTEXT(AD301))</xm:f>
          </x14:formula1>
          <xm:sqref>AI301 AI303:AI307 AI309:AI318</xm:sqref>
        </x14:dataValidation>
        <x14:dataValidation type="custom" allowBlank="1" showInputMessage="1" showErrorMessage="1" error="Recuerde que las acciones se generan bajo la medida de mitigar el riesgo">
          <x14:formula1>
            <xm:f>IF(OR(AD301='G:\Plan Anticorrupción y Atenc al Ciudadano PAAC\2024\[14. Mapa de Riesgos Gestion Legal.xlsx]Opciones Tratamiento'!#REF!,AD301='G:\Plan Anticorrupción y Atenc al Ciudadano PAAC\2024\[14. Mapa de Riesgos Gestion Legal.xlsx]Opciones Tratamiento'!#REF!,AD301='G:\Plan Anticorrupción y Atenc al Ciudadano PAAC\2024\[14. Mapa de Riesgos Gestion Legal.xlsx]Opciones Tratamiento'!#REF!),ISBLANK(AD301),ISTEXT(AD301))</xm:f>
          </x14:formula1>
          <xm:sqref>AH301 AH303:AH307 AH309:AH318</xm:sqref>
        </x14:dataValidation>
        <x14:dataValidation type="custom" allowBlank="1" showInputMessage="1" showErrorMessage="1" error="Recuerde que las acciones se generan bajo la medida de mitigar el riesgo">
          <x14:formula1>
            <xm:f>IF(OR(AD301='G:\Plan Anticorrupción y Atenc al Ciudadano PAAC\2024\[14. Mapa de Riesgos Gestion Legal.xlsx]Opciones Tratamiento'!#REF!,AD301='G:\Plan Anticorrupción y Atenc al Ciudadano PAAC\2024\[14. Mapa de Riesgos Gestion Legal.xlsx]Opciones Tratamiento'!#REF!,AD301='G:\Plan Anticorrupción y Atenc al Ciudadano PAAC\2024\[14. Mapa de Riesgos Gestion Legal.xlsx]Opciones Tratamiento'!#REF!),ISBLANK(AD301),ISTEXT(AD301))</xm:f>
          </x14:formula1>
          <xm:sqref>AG301 AG303:AG307 AG309:AG318</xm:sqref>
        </x14:dataValidation>
        <x14:dataValidation type="custom" allowBlank="1" showInputMessage="1" showErrorMessage="1" error="Recuerde que las acciones se generan bajo la medida de mitigar el riesgo">
          <x14:formula1>
            <xm:f>IF(OR(AD301='G:\Plan Anticorrupción y Atenc al Ciudadano PAAC\2024\[14. Mapa de Riesgos Gestion Legal.xlsx]Opciones Tratamiento'!#REF!,AD301='G:\Plan Anticorrupción y Atenc al Ciudadano PAAC\2024\[14. Mapa de Riesgos Gestion Legal.xlsx]Opciones Tratamiento'!#REF!,AD301='G:\Plan Anticorrupción y Atenc al Ciudadano PAAC\2024\[14. Mapa de Riesgos Gestion Legal.xlsx]Opciones Tratamiento'!#REF!),ISBLANK(AD301),ISTEXT(AD301))</xm:f>
          </x14:formula1>
          <xm:sqref>AF301 AF303:AF307 AF309:AF318</xm:sqref>
        </x14:dataValidation>
        <x14:dataValidation type="custom" allowBlank="1" showInputMessage="1" showErrorMessage="1" error="Recuerde que las acciones se generan bajo la medida de mitigar el riesgo">
          <x14:formula1>
            <xm:f>IF(OR(AD301='G:\Plan Anticorrupción y Atenc al Ciudadano PAAC\2024\[14. Mapa de Riesgos Gestion Legal.xlsx]Opciones Tratamiento'!#REF!,AD301='G:\Plan Anticorrupción y Atenc al Ciudadano PAAC\2024\[14. Mapa de Riesgos Gestion Legal.xlsx]Opciones Tratamiento'!#REF!,AD301='G:\Plan Anticorrupción y Atenc al Ciudadano PAAC\2024\[14. Mapa de Riesgos Gestion Legal.xlsx]Opciones Tratamiento'!#REF!),ISBLANK(AD301),ISTEXT(AD301))</xm:f>
          </x14:formula1>
          <xm:sqref>AE301 AE303:AE307 AE309:AE318</xm:sqref>
        </x14:dataValidation>
        <x14:dataValidation type="list" allowBlank="1" showInputMessage="1" showErrorMessage="1">
          <x14:formula1>
            <xm:f>'G:\Plan Anticorrupción y Atenc al Ciudadano PAAC\2024\[14. Mapa de Riesgos Gestion Legal.xlsx]Opciones Tratamiento'!#REF!</xm:f>
          </x14:formula1>
          <xm:sqref>AD301 AD303:AD307 AD309:AD318</xm:sqref>
        </x14:dataValidation>
        <x14:dataValidation type="list" allowBlank="1" showInputMessage="1" showErrorMessage="1">
          <x14:formula1>
            <xm:f>'G:\Plan Anticorrupción y Atenc al Ciudadano PAAC\2024\[14. Mapa de Riesgos Gestion Legal.xlsx]Tabla Valoración controles'!#REF!</xm:f>
          </x14:formula1>
          <xm:sqref>W301 W303:W307 W309:W318</xm:sqref>
        </x14:dataValidation>
        <x14:dataValidation type="list" allowBlank="1" showInputMessage="1" showErrorMessage="1">
          <x14:formula1>
            <xm:f>'G:\Plan Anticorrupción y Atenc al Ciudadano PAAC\2024\[14. Mapa de Riesgos Gestion Legal.xlsx]Opciones Tratamiento'!#REF!</xm:f>
          </x14:formula1>
          <xm:sqref>AJ307 AJ304:AJ305 AJ310:AJ311 AJ313:AJ314 AJ316:AJ317 AJ301</xm:sqref>
        </x14:dataValidation>
        <x14:dataValidation type="list" allowBlank="1" showInputMessage="1" showErrorMessage="1">
          <x14:formula1>
            <xm:f>'G:\Plan Anticorrupción y Atenc al Ciudadano PAAC\2024\[14. Mapa de Riesgos Gestion Legal.xlsx]Tabla Valoración controles'!#REF!</xm:f>
          </x14:formula1>
          <xm:sqref>V301 V303:V307 V309:V318</xm:sqref>
        </x14:dataValidation>
        <x14:dataValidation type="list" allowBlank="1" showInputMessage="1" showErrorMessage="1">
          <x14:formula1>
            <xm:f>'G:\Plan Anticorrupción y Atenc al Ciudadano PAAC\2024\[14. Mapa de Riesgos Gestion Legal.xlsx]Tabla Valoración controles'!#REF!</xm:f>
          </x14:formula1>
          <xm:sqref>U301 U303:U307 U309:U318</xm:sqref>
        </x14:dataValidation>
        <x14:dataValidation type="list" allowBlank="1" showInputMessage="1" showErrorMessage="1">
          <x14:formula1>
            <xm:f>'G:\Plan Anticorrupción y Atenc al Ciudadano PAAC\2024\[14. Mapa de Riesgos Gestion Legal.xlsx]Tabla Valoración controles'!#REF!</xm:f>
          </x14:formula1>
          <xm:sqref>S301 S303:S307 S309:S318</xm:sqref>
        </x14:dataValidation>
        <x14:dataValidation type="list" allowBlank="1" showInputMessage="1" showErrorMessage="1">
          <x14:formula1>
            <xm:f>'G:\Plan Anticorrupción y Atenc al Ciudadano PAAC\2024\[14. Mapa de Riesgos Gestion Legal.xlsx]Tabla Valoración controles'!#REF!</xm:f>
          </x14:formula1>
          <xm:sqref>R301 R303:R307 R309:R318</xm:sqref>
        </x14:dataValidation>
        <x14:dataValidation type="list" allowBlank="1" showInputMessage="1" showErrorMessage="1">
          <x14:formula1>
            <xm:f>'G:\Plan Anticorrupción y Atenc al Ciudadano PAAC\2024\[14. Mapa de Riesgos Gestion Legal.xlsx]Tabla Impacto'!#REF!</xm:f>
          </x14:formula1>
          <xm:sqref>J301:J318</xm:sqref>
        </x14:dataValidation>
        <x14:dataValidation type="list" allowBlank="1" showInputMessage="1" showErrorMessage="1">
          <x14:formula1>
            <xm:f>'G:\Plan Anticorrupción y Atenc al Ciudadano PAAC\2024\[14. Mapa de Riesgos Gestion Legal.xlsx]Opciones Tratamiento'!#REF!</xm:f>
          </x14:formula1>
          <xm:sqref>B301:B318</xm:sqref>
        </x14:dataValidation>
        <x14:dataValidation type="list" allowBlank="1" showInputMessage="1" showErrorMessage="1">
          <x14:formula1>
            <xm:f>'G:\Plan Anticorrupción y Atenc al Ciudadano PAAC\2024\[14. Mapa de Riesgos Gestion Legal.xlsx]Opciones Tratamiento'!#REF!</xm:f>
          </x14:formula1>
          <xm:sqref>F301:F318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AL69" sqref="AL69"/>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52" t="s">
        <v>158</v>
      </c>
      <c r="C2" s="352"/>
      <c r="D2" s="352"/>
      <c r="E2" s="352"/>
      <c r="F2" s="352"/>
      <c r="G2" s="352"/>
      <c r="H2" s="352"/>
      <c r="I2" s="352"/>
      <c r="J2" s="390" t="s">
        <v>2</v>
      </c>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52"/>
      <c r="C3" s="352"/>
      <c r="D3" s="352"/>
      <c r="E3" s="352"/>
      <c r="F3" s="352"/>
      <c r="G3" s="352"/>
      <c r="H3" s="352"/>
      <c r="I3" s="352"/>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52"/>
      <c r="C4" s="352"/>
      <c r="D4" s="352"/>
      <c r="E4" s="352"/>
      <c r="F4" s="352"/>
      <c r="G4" s="352"/>
      <c r="H4" s="352"/>
      <c r="I4" s="352"/>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402" t="s">
        <v>4</v>
      </c>
      <c r="C6" s="402"/>
      <c r="D6" s="403"/>
      <c r="E6" s="391" t="s">
        <v>116</v>
      </c>
      <c r="F6" s="392"/>
      <c r="G6" s="392"/>
      <c r="H6" s="392"/>
      <c r="I6" s="393"/>
      <c r="J6" s="387" t="str">
        <f ca="1">IF(AND('Mapa Institucional 2024'!$H$9="Muy Alta",'Mapa Institucional 2024'!$L$9="Leve"),CONCATENATE("R",'Mapa Institucional 2024'!$A$9),"")</f>
        <v/>
      </c>
      <c r="K6" s="388"/>
      <c r="L6" s="388" t="str">
        <f ca="1">IF(AND('Mapa Institucional 2024'!$H$15="Muy Alta",'Mapa Institucional 2024'!$L$15="Leve"),CONCATENATE("R",'Mapa Institucional 2024'!$A$15),"")</f>
        <v/>
      </c>
      <c r="M6" s="388"/>
      <c r="N6" s="388" t="str">
        <f ca="1">IF(AND('Mapa Institucional 2024'!$H$21="Muy Alta",'Mapa Institucional 2024'!$L$21="Leve"),CONCATENATE("R",'Mapa Institucional 2024'!$A$21),"")</f>
        <v/>
      </c>
      <c r="O6" s="389"/>
      <c r="P6" s="387" t="str">
        <f ca="1">IF(AND('Mapa Institucional 2024'!$H$9="Muy Alta",'Mapa Institucional 2024'!$L$9="Menor"),CONCATENATE("R",'Mapa Institucional 2024'!$A$9),"")</f>
        <v/>
      </c>
      <c r="Q6" s="388"/>
      <c r="R6" s="388" t="str">
        <f ca="1">IF(AND('Mapa Institucional 2024'!$H$15="Muy Alta",'Mapa Institucional 2024'!$L$15="Menor"),CONCATENATE("R",'Mapa Institucional 2024'!$A$15),"")</f>
        <v/>
      </c>
      <c r="S6" s="388"/>
      <c r="T6" s="388" t="str">
        <f ca="1">IF(AND('Mapa Institucional 2024'!$H$21="Muy Alta",'Mapa Institucional 2024'!$L$21="Menor"),CONCATENATE("R",'Mapa Institucional 2024'!$A$21),"")</f>
        <v/>
      </c>
      <c r="U6" s="389"/>
      <c r="V6" s="387" t="str">
        <f ca="1">IF(AND('Mapa Institucional 2024'!$H$9="Muy Alta",'Mapa Institucional 2024'!$L$9="Moderado"),CONCATENATE("R",'Mapa Institucional 2024'!$A$9),"")</f>
        <v/>
      </c>
      <c r="W6" s="388"/>
      <c r="X6" s="388" t="str">
        <f ca="1">IF(AND('Mapa Institucional 2024'!$H$15="Muy Alta",'Mapa Institucional 2024'!$L$15="Moderado"),CONCATENATE("R",'Mapa Institucional 2024'!$A$15),"")</f>
        <v/>
      </c>
      <c r="Y6" s="388"/>
      <c r="Z6" s="388" t="str">
        <f ca="1">IF(AND('Mapa Institucional 2024'!$H$21="Muy Alta",'Mapa Institucional 2024'!$L$21="Moderado"),CONCATENATE("R",'Mapa Institucional 2024'!$A$21),"")</f>
        <v/>
      </c>
      <c r="AA6" s="389"/>
      <c r="AB6" s="387" t="str">
        <f ca="1">IF(AND('Mapa Institucional 2024'!$H$9="Muy Alta",'Mapa Institucional 2024'!$L$9="Mayor"),CONCATENATE("R",'Mapa Institucional 2024'!$A$9),"")</f>
        <v/>
      </c>
      <c r="AC6" s="388"/>
      <c r="AD6" s="388" t="str">
        <f ca="1">IF(AND('Mapa Institucional 2024'!$H$15="Muy Alta",'Mapa Institucional 2024'!$L$15="Mayor"),CONCATENATE("R",'Mapa Institucional 2024'!$A$15),"")</f>
        <v/>
      </c>
      <c r="AE6" s="388"/>
      <c r="AF6" s="388" t="str">
        <f ca="1">IF(AND('Mapa Institucional 2024'!$H$21="Muy Alta",'Mapa Institucional 2024'!$L$21="Mayor"),CONCATENATE("R",'Mapa Institucional 2024'!$A$21),"")</f>
        <v/>
      </c>
      <c r="AG6" s="389"/>
      <c r="AH6" s="377" t="str">
        <f ca="1">IF(AND('Mapa Institucional 2024'!$H$9="Muy Alta",'Mapa Institucional 2024'!$L$9="Catastrófico"),CONCATENATE("R",'Mapa Institucional 2024'!$A$9),"")</f>
        <v/>
      </c>
      <c r="AI6" s="378"/>
      <c r="AJ6" s="378" t="str">
        <f ca="1">IF(AND('Mapa Institucional 2024'!$H$15="Muy Alta",'Mapa Institucional 2024'!$L$15="Catastrófico"),CONCATENATE("R",'Mapa Institucional 2024'!$A$15),"")</f>
        <v/>
      </c>
      <c r="AK6" s="378"/>
      <c r="AL6" s="378" t="str">
        <f ca="1">IF(AND('Mapa Institucional 2024'!$H$21="Muy Alta",'Mapa Institucional 2024'!$L$21="Catastrófico"),CONCATENATE("R",'Mapa Institucional 2024'!$A$21),"")</f>
        <v/>
      </c>
      <c r="AM6" s="379"/>
      <c r="AO6" s="404" t="s">
        <v>79</v>
      </c>
      <c r="AP6" s="405"/>
      <c r="AQ6" s="405"/>
      <c r="AR6" s="405"/>
      <c r="AS6" s="405"/>
      <c r="AT6" s="406"/>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402"/>
      <c r="C7" s="402"/>
      <c r="D7" s="403"/>
      <c r="E7" s="394"/>
      <c r="F7" s="395"/>
      <c r="G7" s="395"/>
      <c r="H7" s="395"/>
      <c r="I7" s="396"/>
      <c r="J7" s="380"/>
      <c r="K7" s="381"/>
      <c r="L7" s="381"/>
      <c r="M7" s="381"/>
      <c r="N7" s="381"/>
      <c r="O7" s="383"/>
      <c r="P7" s="380"/>
      <c r="Q7" s="381"/>
      <c r="R7" s="381"/>
      <c r="S7" s="381"/>
      <c r="T7" s="381"/>
      <c r="U7" s="383"/>
      <c r="V7" s="380"/>
      <c r="W7" s="381"/>
      <c r="X7" s="381"/>
      <c r="Y7" s="381"/>
      <c r="Z7" s="381"/>
      <c r="AA7" s="383"/>
      <c r="AB7" s="380"/>
      <c r="AC7" s="381"/>
      <c r="AD7" s="381"/>
      <c r="AE7" s="381"/>
      <c r="AF7" s="381"/>
      <c r="AG7" s="383"/>
      <c r="AH7" s="371"/>
      <c r="AI7" s="372"/>
      <c r="AJ7" s="372"/>
      <c r="AK7" s="372"/>
      <c r="AL7" s="372"/>
      <c r="AM7" s="373"/>
      <c r="AN7" s="82"/>
      <c r="AO7" s="407"/>
      <c r="AP7" s="408"/>
      <c r="AQ7" s="408"/>
      <c r="AR7" s="408"/>
      <c r="AS7" s="408"/>
      <c r="AT7" s="409"/>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402"/>
      <c r="C8" s="402"/>
      <c r="D8" s="403"/>
      <c r="E8" s="394"/>
      <c r="F8" s="395"/>
      <c r="G8" s="395"/>
      <c r="H8" s="395"/>
      <c r="I8" s="396"/>
      <c r="J8" s="380" t="str">
        <f ca="1">IF(AND('Mapa Institucional 2024'!$H$27="Muy Alta",'Mapa Institucional 2024'!$L$27="Leve"),CONCATENATE("R",'Mapa Institucional 2024'!$A$27),"")</f>
        <v/>
      </c>
      <c r="K8" s="381"/>
      <c r="L8" s="382" t="str">
        <f ca="1">IF(AND('Mapa Institucional 2024'!$H$33="Muy Alta",'Mapa Institucional 2024'!$L$33="Leve"),CONCATENATE("R",'Mapa Institucional 2024'!$A$33),"")</f>
        <v/>
      </c>
      <c r="M8" s="382"/>
      <c r="N8" s="382" t="str">
        <f ca="1">IF(AND('Mapa Institucional 2024'!$H$39="Muy Alta",'Mapa Institucional 2024'!$L$39="Leve"),CONCATENATE("R",'Mapa Institucional 2024'!$A$39),"")</f>
        <v/>
      </c>
      <c r="O8" s="383"/>
      <c r="P8" s="380" t="str">
        <f ca="1">IF(AND('Mapa Institucional 2024'!$H$27="Muy Alta",'Mapa Institucional 2024'!$L$27="Menor"),CONCATENATE("R",'Mapa Institucional 2024'!$A$27),"")</f>
        <v/>
      </c>
      <c r="Q8" s="381"/>
      <c r="R8" s="382" t="str">
        <f ca="1">IF(AND('Mapa Institucional 2024'!$H$33="Muy Alta",'Mapa Institucional 2024'!$L$33="Menor"),CONCATENATE("R",'Mapa Institucional 2024'!$A$33),"")</f>
        <v/>
      </c>
      <c r="S8" s="382"/>
      <c r="T8" s="382" t="str">
        <f ca="1">IF(AND('Mapa Institucional 2024'!$H$39="Muy Alta",'Mapa Institucional 2024'!$L$39="Menor"),CONCATENATE("R",'Mapa Institucional 2024'!$A$39),"")</f>
        <v/>
      </c>
      <c r="U8" s="383"/>
      <c r="V8" s="380" t="str">
        <f ca="1">IF(AND('Mapa Institucional 2024'!$H$27="Muy Alta",'Mapa Institucional 2024'!$L$27="Moderado"),CONCATENATE("R",'Mapa Institucional 2024'!$A$27),"")</f>
        <v/>
      </c>
      <c r="W8" s="381"/>
      <c r="X8" s="382" t="str">
        <f ca="1">IF(AND('Mapa Institucional 2024'!$H$33="Muy Alta",'Mapa Institucional 2024'!$L$33="Moderado"),CONCATENATE("R",'Mapa Institucional 2024'!$A$33),"")</f>
        <v/>
      </c>
      <c r="Y8" s="382"/>
      <c r="Z8" s="382" t="str">
        <f ca="1">IF(AND('Mapa Institucional 2024'!$H$39="Muy Alta",'Mapa Institucional 2024'!$L$39="Moderado"),CONCATENATE("R",'Mapa Institucional 2024'!$A$39),"")</f>
        <v/>
      </c>
      <c r="AA8" s="383"/>
      <c r="AB8" s="380" t="str">
        <f ca="1">IF(AND('Mapa Institucional 2024'!$H$27="Muy Alta",'Mapa Institucional 2024'!$L$27="Mayor"),CONCATENATE("R",'Mapa Institucional 2024'!$A$27),"")</f>
        <v/>
      </c>
      <c r="AC8" s="381"/>
      <c r="AD8" s="382" t="str">
        <f ca="1">IF(AND('Mapa Institucional 2024'!$H$33="Muy Alta",'Mapa Institucional 2024'!$L$33="Mayor"),CONCATENATE("R",'Mapa Institucional 2024'!$A$33),"")</f>
        <v/>
      </c>
      <c r="AE8" s="382"/>
      <c r="AF8" s="382" t="str">
        <f ca="1">IF(AND('Mapa Institucional 2024'!$H$39="Muy Alta",'Mapa Institucional 2024'!$L$39="Mayor"),CONCATENATE("R",'Mapa Institucional 2024'!$A$39),"")</f>
        <v/>
      </c>
      <c r="AG8" s="383"/>
      <c r="AH8" s="371" t="str">
        <f ca="1">IF(AND('Mapa Institucional 2024'!$H$27="Muy Alta",'Mapa Institucional 2024'!$L$27="Catastrófico"),CONCATENATE("R",'Mapa Institucional 2024'!$A$27),"")</f>
        <v/>
      </c>
      <c r="AI8" s="372"/>
      <c r="AJ8" s="372" t="str">
        <f ca="1">IF(AND('Mapa Institucional 2024'!$H$33="Muy Alta",'Mapa Institucional 2024'!$L$33="Catastrófico"),CONCATENATE("R",'Mapa Institucional 2024'!$A$33),"")</f>
        <v/>
      </c>
      <c r="AK8" s="372"/>
      <c r="AL8" s="372" t="str">
        <f ca="1">IF(AND('Mapa Institucional 2024'!$H$39="Muy Alta",'Mapa Institucional 2024'!$L$39="Catastrófico"),CONCATENATE("R",'Mapa Institucional 2024'!$A$39),"")</f>
        <v/>
      </c>
      <c r="AM8" s="373"/>
      <c r="AN8" s="82"/>
      <c r="AO8" s="407"/>
      <c r="AP8" s="408"/>
      <c r="AQ8" s="408"/>
      <c r="AR8" s="408"/>
      <c r="AS8" s="408"/>
      <c r="AT8" s="409"/>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402"/>
      <c r="C9" s="402"/>
      <c r="D9" s="403"/>
      <c r="E9" s="394"/>
      <c r="F9" s="395"/>
      <c r="G9" s="395"/>
      <c r="H9" s="395"/>
      <c r="I9" s="396"/>
      <c r="J9" s="380"/>
      <c r="K9" s="381"/>
      <c r="L9" s="382"/>
      <c r="M9" s="382"/>
      <c r="N9" s="382"/>
      <c r="O9" s="383"/>
      <c r="P9" s="380"/>
      <c r="Q9" s="381"/>
      <c r="R9" s="382"/>
      <c r="S9" s="382"/>
      <c r="T9" s="382"/>
      <c r="U9" s="383"/>
      <c r="V9" s="380"/>
      <c r="W9" s="381"/>
      <c r="X9" s="382"/>
      <c r="Y9" s="382"/>
      <c r="Z9" s="382"/>
      <c r="AA9" s="383"/>
      <c r="AB9" s="380"/>
      <c r="AC9" s="381"/>
      <c r="AD9" s="382"/>
      <c r="AE9" s="382"/>
      <c r="AF9" s="382"/>
      <c r="AG9" s="383"/>
      <c r="AH9" s="371"/>
      <c r="AI9" s="372"/>
      <c r="AJ9" s="372"/>
      <c r="AK9" s="372"/>
      <c r="AL9" s="372"/>
      <c r="AM9" s="373"/>
      <c r="AN9" s="82"/>
      <c r="AO9" s="407"/>
      <c r="AP9" s="408"/>
      <c r="AQ9" s="408"/>
      <c r="AR9" s="408"/>
      <c r="AS9" s="408"/>
      <c r="AT9" s="409"/>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402"/>
      <c r="C10" s="402"/>
      <c r="D10" s="403"/>
      <c r="E10" s="394"/>
      <c r="F10" s="395"/>
      <c r="G10" s="395"/>
      <c r="H10" s="395"/>
      <c r="I10" s="396"/>
      <c r="J10" s="380" t="str">
        <f ca="1">IF(AND('Mapa Institucional 2024'!$H$45="Muy Alta",'Mapa Institucional 2024'!$L$45="Leve"),CONCATENATE("R",'Mapa Institucional 2024'!$A$45),"")</f>
        <v/>
      </c>
      <c r="K10" s="381"/>
      <c r="L10" s="382" t="str">
        <f ca="1">IF(AND('Mapa Institucional 2024'!$H$51="Muy Alta",'Mapa Institucional 2024'!$L$51="Leve"),CONCATENATE("R",'Mapa Institucional 2024'!$A$51),"")</f>
        <v/>
      </c>
      <c r="M10" s="382"/>
      <c r="N10" s="382" t="str">
        <f ca="1">IF(AND('Mapa Institucional 2024'!$H$57="Muy Alta",'Mapa Institucional 2024'!$L$57="Leve"),CONCATENATE("R",'Mapa Institucional 2024'!$A$57),"")</f>
        <v/>
      </c>
      <c r="O10" s="383"/>
      <c r="P10" s="380" t="str">
        <f ca="1">IF(AND('Mapa Institucional 2024'!$H$45="Muy Alta",'Mapa Institucional 2024'!$L$45="Menor"),CONCATENATE("R",'Mapa Institucional 2024'!$A$45),"")</f>
        <v/>
      </c>
      <c r="Q10" s="381"/>
      <c r="R10" s="382" t="str">
        <f ca="1">IF(AND('Mapa Institucional 2024'!$H$51="Muy Alta",'Mapa Institucional 2024'!$L$51="Menor"),CONCATENATE("R",'Mapa Institucional 2024'!$A$51),"")</f>
        <v/>
      </c>
      <c r="S10" s="382"/>
      <c r="T10" s="382" t="str">
        <f ca="1">IF(AND('Mapa Institucional 2024'!$H$57="Muy Alta",'Mapa Institucional 2024'!$L$57="Menor"),CONCATENATE("R",'Mapa Institucional 2024'!$A$57),"")</f>
        <v/>
      </c>
      <c r="U10" s="383"/>
      <c r="V10" s="380" t="str">
        <f ca="1">IF(AND('Mapa Institucional 2024'!$H$45="Muy Alta",'Mapa Institucional 2024'!$L$45="Moderado"),CONCATENATE("R",'Mapa Institucional 2024'!$A$45),"")</f>
        <v/>
      </c>
      <c r="W10" s="381"/>
      <c r="X10" s="382" t="str">
        <f ca="1">IF(AND('Mapa Institucional 2024'!$H$51="Muy Alta",'Mapa Institucional 2024'!$L$51="Moderado"),CONCATENATE("R",'Mapa Institucional 2024'!$A$51),"")</f>
        <v/>
      </c>
      <c r="Y10" s="382"/>
      <c r="Z10" s="382" t="str">
        <f ca="1">IF(AND('Mapa Institucional 2024'!$H$57="Muy Alta",'Mapa Institucional 2024'!$L$57="Moderado"),CONCATENATE("R",'Mapa Institucional 2024'!$A$57),"")</f>
        <v/>
      </c>
      <c r="AA10" s="383"/>
      <c r="AB10" s="380" t="str">
        <f ca="1">IF(AND('Mapa Institucional 2024'!$H$45="Muy Alta",'Mapa Institucional 2024'!$L$45="Mayor"),CONCATENATE("R",'Mapa Institucional 2024'!$A$45),"")</f>
        <v/>
      </c>
      <c r="AC10" s="381"/>
      <c r="AD10" s="382" t="str">
        <f ca="1">IF(AND('Mapa Institucional 2024'!$H$51="Muy Alta",'Mapa Institucional 2024'!$L$51="Mayor"),CONCATENATE("R",'Mapa Institucional 2024'!$A$51),"")</f>
        <v/>
      </c>
      <c r="AE10" s="382"/>
      <c r="AF10" s="382" t="str">
        <f ca="1">IF(AND('Mapa Institucional 2024'!$H$57="Muy Alta",'Mapa Institucional 2024'!$L$57="Mayor"),CONCATENATE("R",'Mapa Institucional 2024'!$A$57),"")</f>
        <v/>
      </c>
      <c r="AG10" s="383"/>
      <c r="AH10" s="371" t="str">
        <f ca="1">IF(AND('Mapa Institucional 2024'!$H$45="Muy Alta",'Mapa Institucional 2024'!$L$45="Catastrófico"),CONCATENATE("R",'Mapa Institucional 2024'!$A$45),"")</f>
        <v/>
      </c>
      <c r="AI10" s="372"/>
      <c r="AJ10" s="372" t="str">
        <f ca="1">IF(AND('Mapa Institucional 2024'!$H$51="Muy Alta",'Mapa Institucional 2024'!$L$51="Catastrófico"),CONCATENATE("R",'Mapa Institucional 2024'!$A$51),"")</f>
        <v/>
      </c>
      <c r="AK10" s="372"/>
      <c r="AL10" s="372" t="str">
        <f ca="1">IF(AND('Mapa Institucional 2024'!$H$57="Muy Alta",'Mapa Institucional 2024'!$L$57="Catastrófico"),CONCATENATE("R",'Mapa Institucional 2024'!$A$57),"")</f>
        <v/>
      </c>
      <c r="AM10" s="373"/>
      <c r="AN10" s="82"/>
      <c r="AO10" s="407"/>
      <c r="AP10" s="408"/>
      <c r="AQ10" s="408"/>
      <c r="AR10" s="408"/>
      <c r="AS10" s="408"/>
      <c r="AT10" s="409"/>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402"/>
      <c r="C11" s="402"/>
      <c r="D11" s="403"/>
      <c r="E11" s="394"/>
      <c r="F11" s="395"/>
      <c r="G11" s="395"/>
      <c r="H11" s="395"/>
      <c r="I11" s="396"/>
      <c r="J11" s="380"/>
      <c r="K11" s="381"/>
      <c r="L11" s="382"/>
      <c r="M11" s="382"/>
      <c r="N11" s="382"/>
      <c r="O11" s="383"/>
      <c r="P11" s="380"/>
      <c r="Q11" s="381"/>
      <c r="R11" s="382"/>
      <c r="S11" s="382"/>
      <c r="T11" s="382"/>
      <c r="U11" s="383"/>
      <c r="V11" s="380"/>
      <c r="W11" s="381"/>
      <c r="X11" s="382"/>
      <c r="Y11" s="382"/>
      <c r="Z11" s="382"/>
      <c r="AA11" s="383"/>
      <c r="AB11" s="380"/>
      <c r="AC11" s="381"/>
      <c r="AD11" s="382"/>
      <c r="AE11" s="382"/>
      <c r="AF11" s="382"/>
      <c r="AG11" s="383"/>
      <c r="AH11" s="371"/>
      <c r="AI11" s="372"/>
      <c r="AJ11" s="372"/>
      <c r="AK11" s="372"/>
      <c r="AL11" s="372"/>
      <c r="AM11" s="373"/>
      <c r="AN11" s="82"/>
      <c r="AO11" s="407"/>
      <c r="AP11" s="408"/>
      <c r="AQ11" s="408"/>
      <c r="AR11" s="408"/>
      <c r="AS11" s="408"/>
      <c r="AT11" s="409"/>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402"/>
      <c r="C12" s="402"/>
      <c r="D12" s="403"/>
      <c r="E12" s="394"/>
      <c r="F12" s="395"/>
      <c r="G12" s="395"/>
      <c r="H12" s="395"/>
      <c r="I12" s="396"/>
      <c r="J12" s="380" t="str">
        <f ca="1">IF(AND('Mapa Institucional 2024'!$H$63="Muy Alta",'Mapa Institucional 2024'!$L$63="Leve"),CONCATENATE("R",'Mapa Institucional 2024'!$A$63),"")</f>
        <v/>
      </c>
      <c r="K12" s="381"/>
      <c r="L12" s="382" t="e">
        <f>IF(AND('Mapa Institucional 2024'!#REF!="Muy Alta",'Mapa Institucional 2024'!#REF!="Leve"),CONCATENATE("R",'Mapa Institucional 2024'!#REF!),"")</f>
        <v>#REF!</v>
      </c>
      <c r="M12" s="382"/>
      <c r="N12" s="382" t="e">
        <f>IF(AND('Mapa Institucional 2024'!#REF!="Muy Alta",'Mapa Institucional 2024'!#REF!="Leve"),CONCATENATE("R",'Mapa Institucional 2024'!#REF!),"")</f>
        <v>#REF!</v>
      </c>
      <c r="O12" s="383"/>
      <c r="P12" s="380" t="str">
        <f ca="1">IF(AND('Mapa Institucional 2024'!$H$63="Muy Alta",'Mapa Institucional 2024'!$L$63="Menor"),CONCATENATE("R",'Mapa Institucional 2024'!$A$63),"")</f>
        <v/>
      </c>
      <c r="Q12" s="381"/>
      <c r="R12" s="382" t="e">
        <f>IF(AND('Mapa Institucional 2024'!#REF!="Muy Alta",'Mapa Institucional 2024'!#REF!="Menor"),CONCATENATE("R",'Mapa Institucional 2024'!#REF!),"")</f>
        <v>#REF!</v>
      </c>
      <c r="S12" s="382"/>
      <c r="T12" s="382" t="e">
        <f>IF(AND('Mapa Institucional 2024'!#REF!="Muy Alta",'Mapa Institucional 2024'!#REF!="Menor"),CONCATENATE("R",'Mapa Institucional 2024'!#REF!),"")</f>
        <v>#REF!</v>
      </c>
      <c r="U12" s="383"/>
      <c r="V12" s="380" t="str">
        <f ca="1">IF(AND('Mapa Institucional 2024'!$H$63="Muy Alta",'Mapa Institucional 2024'!$L$63="Moderado"),CONCATENATE("R",'Mapa Institucional 2024'!$A$63),"")</f>
        <v/>
      </c>
      <c r="W12" s="381"/>
      <c r="X12" s="382" t="e">
        <f>IF(AND('Mapa Institucional 2024'!#REF!="Muy Alta",'Mapa Institucional 2024'!#REF!="Moderado"),CONCATENATE("R",'Mapa Institucional 2024'!#REF!),"")</f>
        <v>#REF!</v>
      </c>
      <c r="Y12" s="382"/>
      <c r="Z12" s="382" t="e">
        <f>IF(AND('Mapa Institucional 2024'!#REF!="Muy Alta",'Mapa Institucional 2024'!#REF!="Moderado"),CONCATENATE("R",'Mapa Institucional 2024'!#REF!),"")</f>
        <v>#REF!</v>
      </c>
      <c r="AA12" s="383"/>
      <c r="AB12" s="380" t="str">
        <f ca="1">IF(AND('Mapa Institucional 2024'!$H$63="Muy Alta",'Mapa Institucional 2024'!$L$63="Mayor"),CONCATENATE("R",'Mapa Institucional 2024'!$A$63),"")</f>
        <v/>
      </c>
      <c r="AC12" s="381"/>
      <c r="AD12" s="382" t="e">
        <f>IF(AND('Mapa Institucional 2024'!#REF!="Muy Alta",'Mapa Institucional 2024'!#REF!="Mayor"),CONCATENATE("R",'Mapa Institucional 2024'!#REF!),"")</f>
        <v>#REF!</v>
      </c>
      <c r="AE12" s="382"/>
      <c r="AF12" s="382" t="e">
        <f>IF(AND('Mapa Institucional 2024'!#REF!="Muy Alta",'Mapa Institucional 2024'!#REF!="Mayor"),CONCATENATE("R",'Mapa Institucional 2024'!#REF!),"")</f>
        <v>#REF!</v>
      </c>
      <c r="AG12" s="383"/>
      <c r="AH12" s="371" t="str">
        <f ca="1">IF(AND('Mapa Institucional 2024'!$H$63="Muy Alta",'Mapa Institucional 2024'!$L$63="Catastrófico"),CONCATENATE("R",'Mapa Institucional 2024'!$A$63),"")</f>
        <v/>
      </c>
      <c r="AI12" s="372"/>
      <c r="AJ12" s="372" t="e">
        <f>IF(AND('Mapa Institucional 2024'!#REF!="Muy Alta",'Mapa Institucional 2024'!#REF!="Catastrófico"),CONCATENATE("R",'Mapa Institucional 2024'!#REF!),"")</f>
        <v>#REF!</v>
      </c>
      <c r="AK12" s="372"/>
      <c r="AL12" s="372" t="e">
        <f>IF(AND('Mapa Institucional 2024'!#REF!="Muy Alta",'Mapa Institucional 2024'!#REF!="Catastrófico"),CONCATENATE("R",'Mapa Institucional 2024'!#REF!),"")</f>
        <v>#REF!</v>
      </c>
      <c r="AM12" s="373"/>
      <c r="AN12" s="82"/>
      <c r="AO12" s="407"/>
      <c r="AP12" s="408"/>
      <c r="AQ12" s="408"/>
      <c r="AR12" s="408"/>
      <c r="AS12" s="408"/>
      <c r="AT12" s="409"/>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402"/>
      <c r="C13" s="402"/>
      <c r="D13" s="403"/>
      <c r="E13" s="397"/>
      <c r="F13" s="398"/>
      <c r="G13" s="398"/>
      <c r="H13" s="398"/>
      <c r="I13" s="399"/>
      <c r="J13" s="380"/>
      <c r="K13" s="381"/>
      <c r="L13" s="381"/>
      <c r="M13" s="381"/>
      <c r="N13" s="381"/>
      <c r="O13" s="383"/>
      <c r="P13" s="380"/>
      <c r="Q13" s="381"/>
      <c r="R13" s="381"/>
      <c r="S13" s="381"/>
      <c r="T13" s="381"/>
      <c r="U13" s="383"/>
      <c r="V13" s="380"/>
      <c r="W13" s="381"/>
      <c r="X13" s="381"/>
      <c r="Y13" s="381"/>
      <c r="Z13" s="381"/>
      <c r="AA13" s="383"/>
      <c r="AB13" s="380"/>
      <c r="AC13" s="381"/>
      <c r="AD13" s="381"/>
      <c r="AE13" s="381"/>
      <c r="AF13" s="381"/>
      <c r="AG13" s="383"/>
      <c r="AH13" s="374"/>
      <c r="AI13" s="375"/>
      <c r="AJ13" s="375"/>
      <c r="AK13" s="375"/>
      <c r="AL13" s="375"/>
      <c r="AM13" s="376"/>
      <c r="AN13" s="82"/>
      <c r="AO13" s="410"/>
      <c r="AP13" s="411"/>
      <c r="AQ13" s="411"/>
      <c r="AR13" s="411"/>
      <c r="AS13" s="411"/>
      <c r="AT13" s="41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402"/>
      <c r="C14" s="402"/>
      <c r="D14" s="403"/>
      <c r="E14" s="391" t="s">
        <v>115</v>
      </c>
      <c r="F14" s="392"/>
      <c r="G14" s="392"/>
      <c r="H14" s="392"/>
      <c r="I14" s="392"/>
      <c r="J14" s="368" t="str">
        <f ca="1">IF(AND('Mapa Institucional 2024'!$H$9="Alta",'Mapa Institucional 2024'!$L$9="Leve"),CONCATENATE("R",'Mapa Institucional 2024'!$A$9),"")</f>
        <v/>
      </c>
      <c r="K14" s="369"/>
      <c r="L14" s="369" t="str">
        <f ca="1">IF(AND('Mapa Institucional 2024'!$H$15="Alta",'Mapa Institucional 2024'!$L$15="Leve"),CONCATENATE("R",'Mapa Institucional 2024'!$A$15),"")</f>
        <v/>
      </c>
      <c r="M14" s="369"/>
      <c r="N14" s="369" t="str">
        <f ca="1">IF(AND('Mapa Institucional 2024'!$H$21="Alta",'Mapa Institucional 2024'!$L$21="Leve"),CONCATENATE("R",'Mapa Institucional 2024'!$A$21),"")</f>
        <v/>
      </c>
      <c r="O14" s="370"/>
      <c r="P14" s="368" t="str">
        <f ca="1">IF(AND('Mapa Institucional 2024'!$H$9="Alta",'Mapa Institucional 2024'!$L$9="Menor"),CONCATENATE("R",'Mapa Institucional 2024'!$A$9),"")</f>
        <v/>
      </c>
      <c r="Q14" s="369"/>
      <c r="R14" s="369" t="str">
        <f ca="1">IF(AND('Mapa Institucional 2024'!$H$15="Alta",'Mapa Institucional 2024'!$L$15="Menor"),CONCATENATE("R",'Mapa Institucional 2024'!$A$15),"")</f>
        <v/>
      </c>
      <c r="S14" s="369"/>
      <c r="T14" s="369" t="str">
        <f ca="1">IF(AND('Mapa Institucional 2024'!$H$21="Alta",'Mapa Institucional 2024'!$L$21="Menor"),CONCATENATE("R",'Mapa Institucional 2024'!$A$21),"")</f>
        <v/>
      </c>
      <c r="U14" s="370"/>
      <c r="V14" s="387" t="str">
        <f ca="1">IF(AND('Mapa Institucional 2024'!$H$9="Alta",'Mapa Institucional 2024'!$L$9="Moderado"),CONCATENATE("R",'Mapa Institucional 2024'!$A$9),"")</f>
        <v/>
      </c>
      <c r="W14" s="388"/>
      <c r="X14" s="388" t="str">
        <f ca="1">IF(AND('Mapa Institucional 2024'!$H$15="Alta",'Mapa Institucional 2024'!$L$15="Moderado"),CONCATENATE("R",'Mapa Institucional 2024'!$A$15),"")</f>
        <v/>
      </c>
      <c r="Y14" s="388"/>
      <c r="Z14" s="388" t="str">
        <f ca="1">IF(AND('Mapa Institucional 2024'!$H$21="Alta",'Mapa Institucional 2024'!$L$21="Moderado"),CONCATENATE("R",'Mapa Institucional 2024'!$A$21),"")</f>
        <v/>
      </c>
      <c r="AA14" s="389"/>
      <c r="AB14" s="387" t="str">
        <f ca="1">IF(AND('Mapa Institucional 2024'!$H$9="Alta",'Mapa Institucional 2024'!$L$9="Mayor"),CONCATENATE("R",'Mapa Institucional 2024'!$A$9),"")</f>
        <v/>
      </c>
      <c r="AC14" s="388"/>
      <c r="AD14" s="388" t="str">
        <f ca="1">IF(AND('Mapa Institucional 2024'!$H$15="Alta",'Mapa Institucional 2024'!$L$15="Mayor"),CONCATENATE("R",'Mapa Institucional 2024'!$A$15),"")</f>
        <v/>
      </c>
      <c r="AE14" s="388"/>
      <c r="AF14" s="388" t="str">
        <f ca="1">IF(AND('Mapa Institucional 2024'!$H$21="Alta",'Mapa Institucional 2024'!$L$21="Mayor"),CONCATENATE("R",'Mapa Institucional 2024'!$A$21),"")</f>
        <v/>
      </c>
      <c r="AG14" s="389"/>
      <c r="AH14" s="377" t="str">
        <f ca="1">IF(AND('Mapa Institucional 2024'!$H$9="Alta",'Mapa Institucional 2024'!$L$9="Catastrófico"),CONCATENATE("R",'Mapa Institucional 2024'!$A$9),"")</f>
        <v/>
      </c>
      <c r="AI14" s="378"/>
      <c r="AJ14" s="378" t="str">
        <f ca="1">IF(AND('Mapa Institucional 2024'!$H$15="Alta",'Mapa Institucional 2024'!$L$15="Catastrófico"),CONCATENATE("R",'Mapa Institucional 2024'!$A$15),"")</f>
        <v/>
      </c>
      <c r="AK14" s="378"/>
      <c r="AL14" s="378" t="str">
        <f ca="1">IF(AND('Mapa Institucional 2024'!$H$21="Alta",'Mapa Institucional 2024'!$L$21="Catastrófico"),CONCATENATE("R",'Mapa Institucional 2024'!$A$21),"")</f>
        <v/>
      </c>
      <c r="AM14" s="379"/>
      <c r="AN14" s="82"/>
      <c r="AO14" s="413" t="s">
        <v>80</v>
      </c>
      <c r="AP14" s="414"/>
      <c r="AQ14" s="414"/>
      <c r="AR14" s="414"/>
      <c r="AS14" s="414"/>
      <c r="AT14" s="415"/>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402"/>
      <c r="C15" s="402"/>
      <c r="D15" s="403"/>
      <c r="E15" s="394"/>
      <c r="F15" s="395"/>
      <c r="G15" s="395"/>
      <c r="H15" s="395"/>
      <c r="I15" s="400"/>
      <c r="J15" s="362"/>
      <c r="K15" s="363"/>
      <c r="L15" s="363"/>
      <c r="M15" s="363"/>
      <c r="N15" s="363"/>
      <c r="O15" s="364"/>
      <c r="P15" s="362"/>
      <c r="Q15" s="363"/>
      <c r="R15" s="363"/>
      <c r="S15" s="363"/>
      <c r="T15" s="363"/>
      <c r="U15" s="364"/>
      <c r="V15" s="380"/>
      <c r="W15" s="381"/>
      <c r="X15" s="381"/>
      <c r="Y15" s="381"/>
      <c r="Z15" s="381"/>
      <c r="AA15" s="383"/>
      <c r="AB15" s="380"/>
      <c r="AC15" s="381"/>
      <c r="AD15" s="381"/>
      <c r="AE15" s="381"/>
      <c r="AF15" s="381"/>
      <c r="AG15" s="383"/>
      <c r="AH15" s="371"/>
      <c r="AI15" s="372"/>
      <c r="AJ15" s="372"/>
      <c r="AK15" s="372"/>
      <c r="AL15" s="372"/>
      <c r="AM15" s="373"/>
      <c r="AN15" s="82"/>
      <c r="AO15" s="416"/>
      <c r="AP15" s="417"/>
      <c r="AQ15" s="417"/>
      <c r="AR15" s="417"/>
      <c r="AS15" s="417"/>
      <c r="AT15" s="418"/>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402"/>
      <c r="C16" s="402"/>
      <c r="D16" s="403"/>
      <c r="E16" s="394"/>
      <c r="F16" s="395"/>
      <c r="G16" s="395"/>
      <c r="H16" s="395"/>
      <c r="I16" s="400"/>
      <c r="J16" s="362" t="str">
        <f ca="1">IF(AND('Mapa Institucional 2024'!$H$27="Alta",'Mapa Institucional 2024'!$L$27="Leve"),CONCATENATE("R",'Mapa Institucional 2024'!$A$27),"")</f>
        <v/>
      </c>
      <c r="K16" s="363"/>
      <c r="L16" s="363" t="str">
        <f ca="1">IF(AND('Mapa Institucional 2024'!$H$33="Alta",'Mapa Institucional 2024'!$L$33="Leve"),CONCATENATE("R",'Mapa Institucional 2024'!$A$33),"")</f>
        <v/>
      </c>
      <c r="M16" s="363"/>
      <c r="N16" s="363" t="str">
        <f ca="1">IF(AND('Mapa Institucional 2024'!$H$39="Alta",'Mapa Institucional 2024'!$L$39="Leve"),CONCATENATE("R",'Mapa Institucional 2024'!$A$39),"")</f>
        <v/>
      </c>
      <c r="O16" s="364"/>
      <c r="P16" s="362" t="str">
        <f ca="1">IF(AND('Mapa Institucional 2024'!$H$27="Alta",'Mapa Institucional 2024'!$L$27="Menor"),CONCATENATE("R",'Mapa Institucional 2024'!$A$27),"")</f>
        <v/>
      </c>
      <c r="Q16" s="363"/>
      <c r="R16" s="363" t="str">
        <f ca="1">IF(AND('Mapa Institucional 2024'!$H$33="Alta",'Mapa Institucional 2024'!$L$33="Menor"),CONCATENATE("R",'Mapa Institucional 2024'!$A$33),"")</f>
        <v/>
      </c>
      <c r="S16" s="363"/>
      <c r="T16" s="363" t="str">
        <f ca="1">IF(AND('Mapa Institucional 2024'!$H$39="Alta",'Mapa Institucional 2024'!$L$39="Menor"),CONCATENATE("R",'Mapa Institucional 2024'!$A$39),"")</f>
        <v/>
      </c>
      <c r="U16" s="364"/>
      <c r="V16" s="380" t="str">
        <f ca="1">IF(AND('Mapa Institucional 2024'!$H$27="Alta",'Mapa Institucional 2024'!$L$27="Moderado"),CONCATENATE("R",'Mapa Institucional 2024'!$A$27),"")</f>
        <v/>
      </c>
      <c r="W16" s="381"/>
      <c r="X16" s="382" t="str">
        <f ca="1">IF(AND('Mapa Institucional 2024'!$H$33="Alta",'Mapa Institucional 2024'!$L$33="Moderado"),CONCATENATE("R",'Mapa Institucional 2024'!$A$33),"")</f>
        <v/>
      </c>
      <c r="Y16" s="382"/>
      <c r="Z16" s="382" t="str">
        <f ca="1">IF(AND('Mapa Institucional 2024'!$H$39="Alta",'Mapa Institucional 2024'!$L$39="Moderado"),CONCATENATE("R",'Mapa Institucional 2024'!$A$39),"")</f>
        <v/>
      </c>
      <c r="AA16" s="383"/>
      <c r="AB16" s="380" t="str">
        <f ca="1">IF(AND('Mapa Institucional 2024'!$H$27="Alta",'Mapa Institucional 2024'!$L$27="Mayor"),CONCATENATE("R",'Mapa Institucional 2024'!$A$27),"")</f>
        <v/>
      </c>
      <c r="AC16" s="381"/>
      <c r="AD16" s="382" t="str">
        <f ca="1">IF(AND('Mapa Institucional 2024'!$H$33="Alta",'Mapa Institucional 2024'!$L$33="Mayor"),CONCATENATE("R",'Mapa Institucional 2024'!$A$33),"")</f>
        <v/>
      </c>
      <c r="AE16" s="382"/>
      <c r="AF16" s="382" t="str">
        <f ca="1">IF(AND('Mapa Institucional 2024'!$H$39="Alta",'Mapa Institucional 2024'!$L$39="Mayor"),CONCATENATE("R",'Mapa Institucional 2024'!$A$39),"")</f>
        <v/>
      </c>
      <c r="AG16" s="383"/>
      <c r="AH16" s="371" t="str">
        <f ca="1">IF(AND('Mapa Institucional 2024'!$H$27="Alta",'Mapa Institucional 2024'!$L$27="Catastrófico"),CONCATENATE("R",'Mapa Institucional 2024'!$A$27),"")</f>
        <v/>
      </c>
      <c r="AI16" s="372"/>
      <c r="AJ16" s="372" t="str">
        <f ca="1">IF(AND('Mapa Institucional 2024'!$H$33="Alta",'Mapa Institucional 2024'!$L$33="Catastrófico"),CONCATENATE("R",'Mapa Institucional 2024'!$A$33),"")</f>
        <v/>
      </c>
      <c r="AK16" s="372"/>
      <c r="AL16" s="372" t="str">
        <f ca="1">IF(AND('Mapa Institucional 2024'!$H$39="Alta",'Mapa Institucional 2024'!$L$39="Catastrófico"),CONCATENATE("R",'Mapa Institucional 2024'!$A$39),"")</f>
        <v/>
      </c>
      <c r="AM16" s="373"/>
      <c r="AN16" s="82"/>
      <c r="AO16" s="416"/>
      <c r="AP16" s="417"/>
      <c r="AQ16" s="417"/>
      <c r="AR16" s="417"/>
      <c r="AS16" s="417"/>
      <c r="AT16" s="418"/>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402"/>
      <c r="C17" s="402"/>
      <c r="D17" s="403"/>
      <c r="E17" s="394"/>
      <c r="F17" s="395"/>
      <c r="G17" s="395"/>
      <c r="H17" s="395"/>
      <c r="I17" s="400"/>
      <c r="J17" s="362"/>
      <c r="K17" s="363"/>
      <c r="L17" s="363"/>
      <c r="M17" s="363"/>
      <c r="N17" s="363"/>
      <c r="O17" s="364"/>
      <c r="P17" s="362"/>
      <c r="Q17" s="363"/>
      <c r="R17" s="363"/>
      <c r="S17" s="363"/>
      <c r="T17" s="363"/>
      <c r="U17" s="364"/>
      <c r="V17" s="380"/>
      <c r="W17" s="381"/>
      <c r="X17" s="382"/>
      <c r="Y17" s="382"/>
      <c r="Z17" s="382"/>
      <c r="AA17" s="383"/>
      <c r="AB17" s="380"/>
      <c r="AC17" s="381"/>
      <c r="AD17" s="382"/>
      <c r="AE17" s="382"/>
      <c r="AF17" s="382"/>
      <c r="AG17" s="383"/>
      <c r="AH17" s="371"/>
      <c r="AI17" s="372"/>
      <c r="AJ17" s="372"/>
      <c r="AK17" s="372"/>
      <c r="AL17" s="372"/>
      <c r="AM17" s="373"/>
      <c r="AN17" s="82"/>
      <c r="AO17" s="416"/>
      <c r="AP17" s="417"/>
      <c r="AQ17" s="417"/>
      <c r="AR17" s="417"/>
      <c r="AS17" s="417"/>
      <c r="AT17" s="41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402"/>
      <c r="C18" s="402"/>
      <c r="D18" s="403"/>
      <c r="E18" s="394"/>
      <c r="F18" s="395"/>
      <c r="G18" s="395"/>
      <c r="H18" s="395"/>
      <c r="I18" s="400"/>
      <c r="J18" s="362" t="str">
        <f ca="1">IF(AND('Mapa Institucional 2024'!$H$45="Alta",'Mapa Institucional 2024'!$L$45="Leve"),CONCATENATE("R",'Mapa Institucional 2024'!$A$45),"")</f>
        <v/>
      </c>
      <c r="K18" s="363"/>
      <c r="L18" s="363" t="str">
        <f ca="1">IF(AND('Mapa Institucional 2024'!$H$51="Alta",'Mapa Institucional 2024'!$L$51="Leve"),CONCATENATE("R",'Mapa Institucional 2024'!$A$51),"")</f>
        <v/>
      </c>
      <c r="M18" s="363"/>
      <c r="N18" s="363" t="str">
        <f ca="1">IF(AND('Mapa Institucional 2024'!$H$57="Alta",'Mapa Institucional 2024'!$L$57="Leve"),CONCATENATE("R",'Mapa Institucional 2024'!$A$57),"")</f>
        <v/>
      </c>
      <c r="O18" s="364"/>
      <c r="P18" s="362" t="str">
        <f ca="1">IF(AND('Mapa Institucional 2024'!$H$45="Alta",'Mapa Institucional 2024'!$L$45="Menor"),CONCATENATE("R",'Mapa Institucional 2024'!$A$45),"")</f>
        <v/>
      </c>
      <c r="Q18" s="363"/>
      <c r="R18" s="363" t="str">
        <f ca="1">IF(AND('Mapa Institucional 2024'!$H$51="Alta",'Mapa Institucional 2024'!$L$51="Menor"),CONCATENATE("R",'Mapa Institucional 2024'!$A$51),"")</f>
        <v/>
      </c>
      <c r="S18" s="363"/>
      <c r="T18" s="363" t="str">
        <f ca="1">IF(AND('Mapa Institucional 2024'!$H$57="Alta",'Mapa Institucional 2024'!$L$57="Menor"),CONCATENATE("R",'Mapa Institucional 2024'!$A$57),"")</f>
        <v/>
      </c>
      <c r="U18" s="364"/>
      <c r="V18" s="380" t="str">
        <f ca="1">IF(AND('Mapa Institucional 2024'!$H$45="Alta",'Mapa Institucional 2024'!$L$45="Moderado"),CONCATENATE("R",'Mapa Institucional 2024'!$A$45),"")</f>
        <v/>
      </c>
      <c r="W18" s="381"/>
      <c r="X18" s="382" t="str">
        <f ca="1">IF(AND('Mapa Institucional 2024'!$H$51="Alta",'Mapa Institucional 2024'!$L$51="Moderado"),CONCATENATE("R",'Mapa Institucional 2024'!$A$51),"")</f>
        <v/>
      </c>
      <c r="Y18" s="382"/>
      <c r="Z18" s="382" t="str">
        <f ca="1">IF(AND('Mapa Institucional 2024'!$H$57="Alta",'Mapa Institucional 2024'!$L$57="Moderado"),CONCATENATE("R",'Mapa Institucional 2024'!$A$57),"")</f>
        <v/>
      </c>
      <c r="AA18" s="383"/>
      <c r="AB18" s="380" t="str">
        <f ca="1">IF(AND('Mapa Institucional 2024'!$H$45="Alta",'Mapa Institucional 2024'!$L$45="Mayor"),CONCATENATE("R",'Mapa Institucional 2024'!$A$45),"")</f>
        <v/>
      </c>
      <c r="AC18" s="381"/>
      <c r="AD18" s="382" t="str">
        <f ca="1">IF(AND('Mapa Institucional 2024'!$H$51="Alta",'Mapa Institucional 2024'!$L$51="Mayor"),CONCATENATE("R",'Mapa Institucional 2024'!$A$51),"")</f>
        <v/>
      </c>
      <c r="AE18" s="382"/>
      <c r="AF18" s="382" t="str">
        <f ca="1">IF(AND('Mapa Institucional 2024'!$H$57="Alta",'Mapa Institucional 2024'!$L$57="Mayor"),CONCATENATE("R",'Mapa Institucional 2024'!$A$57),"")</f>
        <v/>
      </c>
      <c r="AG18" s="383"/>
      <c r="AH18" s="371" t="str">
        <f ca="1">IF(AND('Mapa Institucional 2024'!$H$45="Alta",'Mapa Institucional 2024'!$L$45="Catastrófico"),CONCATENATE("R",'Mapa Institucional 2024'!$A$45),"")</f>
        <v/>
      </c>
      <c r="AI18" s="372"/>
      <c r="AJ18" s="372" t="str">
        <f ca="1">IF(AND('Mapa Institucional 2024'!$H$51="Alta",'Mapa Institucional 2024'!$L$51="Catastrófico"),CONCATENATE("R",'Mapa Institucional 2024'!$A$51),"")</f>
        <v/>
      </c>
      <c r="AK18" s="372"/>
      <c r="AL18" s="372" t="str">
        <f ca="1">IF(AND('Mapa Institucional 2024'!$H$57="Alta",'Mapa Institucional 2024'!$L$57="Catastrófico"),CONCATENATE("R",'Mapa Institucional 2024'!$A$57),"")</f>
        <v/>
      </c>
      <c r="AM18" s="373"/>
      <c r="AN18" s="82"/>
      <c r="AO18" s="416"/>
      <c r="AP18" s="417"/>
      <c r="AQ18" s="417"/>
      <c r="AR18" s="417"/>
      <c r="AS18" s="417"/>
      <c r="AT18" s="41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402"/>
      <c r="C19" s="402"/>
      <c r="D19" s="403"/>
      <c r="E19" s="394"/>
      <c r="F19" s="395"/>
      <c r="G19" s="395"/>
      <c r="H19" s="395"/>
      <c r="I19" s="400"/>
      <c r="J19" s="362"/>
      <c r="K19" s="363"/>
      <c r="L19" s="363"/>
      <c r="M19" s="363"/>
      <c r="N19" s="363"/>
      <c r="O19" s="364"/>
      <c r="P19" s="362"/>
      <c r="Q19" s="363"/>
      <c r="R19" s="363"/>
      <c r="S19" s="363"/>
      <c r="T19" s="363"/>
      <c r="U19" s="364"/>
      <c r="V19" s="380"/>
      <c r="W19" s="381"/>
      <c r="X19" s="382"/>
      <c r="Y19" s="382"/>
      <c r="Z19" s="382"/>
      <c r="AA19" s="383"/>
      <c r="AB19" s="380"/>
      <c r="AC19" s="381"/>
      <c r="AD19" s="382"/>
      <c r="AE19" s="382"/>
      <c r="AF19" s="382"/>
      <c r="AG19" s="383"/>
      <c r="AH19" s="371"/>
      <c r="AI19" s="372"/>
      <c r="AJ19" s="372"/>
      <c r="AK19" s="372"/>
      <c r="AL19" s="372"/>
      <c r="AM19" s="373"/>
      <c r="AN19" s="82"/>
      <c r="AO19" s="416"/>
      <c r="AP19" s="417"/>
      <c r="AQ19" s="417"/>
      <c r="AR19" s="417"/>
      <c r="AS19" s="417"/>
      <c r="AT19" s="41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402"/>
      <c r="C20" s="402"/>
      <c r="D20" s="403"/>
      <c r="E20" s="394"/>
      <c r="F20" s="395"/>
      <c r="G20" s="395"/>
      <c r="H20" s="395"/>
      <c r="I20" s="400"/>
      <c r="J20" s="362" t="str">
        <f ca="1">IF(AND('Mapa Institucional 2024'!$H$63="Alta",'Mapa Institucional 2024'!$L$63="Leve"),CONCATENATE("R",'Mapa Institucional 2024'!$A$63),"")</f>
        <v/>
      </c>
      <c r="K20" s="363"/>
      <c r="L20" s="363" t="e">
        <f>IF(AND('Mapa Institucional 2024'!#REF!="Alta",'Mapa Institucional 2024'!#REF!="Leve"),CONCATENATE("R",'Mapa Institucional 2024'!#REF!),"")</f>
        <v>#REF!</v>
      </c>
      <c r="M20" s="363"/>
      <c r="N20" s="363" t="e">
        <f>IF(AND('Mapa Institucional 2024'!#REF!="Alta",'Mapa Institucional 2024'!#REF!="Leve"),CONCATENATE("R",'Mapa Institucional 2024'!#REF!),"")</f>
        <v>#REF!</v>
      </c>
      <c r="O20" s="364"/>
      <c r="P20" s="362" t="str">
        <f ca="1">IF(AND('Mapa Institucional 2024'!$H$63="Alta",'Mapa Institucional 2024'!$L$63="Menor"),CONCATENATE("R",'Mapa Institucional 2024'!$A$63),"")</f>
        <v/>
      </c>
      <c r="Q20" s="363"/>
      <c r="R20" s="363" t="e">
        <f>IF(AND('Mapa Institucional 2024'!#REF!="Alta",'Mapa Institucional 2024'!#REF!="Menor"),CONCATENATE("R",'Mapa Institucional 2024'!#REF!),"")</f>
        <v>#REF!</v>
      </c>
      <c r="S20" s="363"/>
      <c r="T20" s="363" t="e">
        <f>IF(AND('Mapa Institucional 2024'!#REF!="Alta",'Mapa Institucional 2024'!#REF!="Menor"),CONCATENATE("R",'Mapa Institucional 2024'!#REF!),"")</f>
        <v>#REF!</v>
      </c>
      <c r="U20" s="364"/>
      <c r="V20" s="380" t="str">
        <f ca="1">IF(AND('Mapa Institucional 2024'!$H$63="Alta",'Mapa Institucional 2024'!$L$63="Moderado"),CONCATENATE("R",'Mapa Institucional 2024'!$A$63),"")</f>
        <v/>
      </c>
      <c r="W20" s="381"/>
      <c r="X20" s="382" t="e">
        <f>IF(AND('Mapa Institucional 2024'!#REF!="Alta",'Mapa Institucional 2024'!#REF!="Moderado"),CONCATENATE("R",'Mapa Institucional 2024'!#REF!),"")</f>
        <v>#REF!</v>
      </c>
      <c r="Y20" s="382"/>
      <c r="Z20" s="382" t="e">
        <f>IF(AND('Mapa Institucional 2024'!#REF!="Alta",'Mapa Institucional 2024'!#REF!="Moderado"),CONCATENATE("R",'Mapa Institucional 2024'!#REF!),"")</f>
        <v>#REF!</v>
      </c>
      <c r="AA20" s="383"/>
      <c r="AB20" s="380" t="str">
        <f ca="1">IF(AND('Mapa Institucional 2024'!$H$63="Alta",'Mapa Institucional 2024'!$L$63="Mayor"),CONCATENATE("R",'Mapa Institucional 2024'!$A$63),"")</f>
        <v/>
      </c>
      <c r="AC20" s="381"/>
      <c r="AD20" s="382" t="e">
        <f>IF(AND('Mapa Institucional 2024'!#REF!="Alta",'Mapa Institucional 2024'!#REF!="Mayor"),CONCATENATE("R",'Mapa Institucional 2024'!#REF!),"")</f>
        <v>#REF!</v>
      </c>
      <c r="AE20" s="382"/>
      <c r="AF20" s="382" t="e">
        <f>IF(AND('Mapa Institucional 2024'!#REF!="Alta",'Mapa Institucional 2024'!#REF!="Mayor"),CONCATENATE("R",'Mapa Institucional 2024'!#REF!),"")</f>
        <v>#REF!</v>
      </c>
      <c r="AG20" s="383"/>
      <c r="AH20" s="371" t="str">
        <f ca="1">IF(AND('Mapa Institucional 2024'!$H$63="Alta",'Mapa Institucional 2024'!$L$63="Catastrófico"),CONCATENATE("R",'Mapa Institucional 2024'!$A$63),"")</f>
        <v/>
      </c>
      <c r="AI20" s="372"/>
      <c r="AJ20" s="372" t="e">
        <f>IF(AND('Mapa Institucional 2024'!#REF!="Alta",'Mapa Institucional 2024'!#REF!="Catastrófico"),CONCATENATE("R",'Mapa Institucional 2024'!#REF!),"")</f>
        <v>#REF!</v>
      </c>
      <c r="AK20" s="372"/>
      <c r="AL20" s="372" t="e">
        <f>IF(AND('Mapa Institucional 2024'!#REF!="Alta",'Mapa Institucional 2024'!#REF!="Catastrófico"),CONCATENATE("R",'Mapa Institucional 2024'!#REF!),"")</f>
        <v>#REF!</v>
      </c>
      <c r="AM20" s="373"/>
      <c r="AN20" s="82"/>
      <c r="AO20" s="416"/>
      <c r="AP20" s="417"/>
      <c r="AQ20" s="417"/>
      <c r="AR20" s="417"/>
      <c r="AS20" s="417"/>
      <c r="AT20" s="41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402"/>
      <c r="C21" s="402"/>
      <c r="D21" s="403"/>
      <c r="E21" s="397"/>
      <c r="F21" s="398"/>
      <c r="G21" s="398"/>
      <c r="H21" s="398"/>
      <c r="I21" s="398"/>
      <c r="J21" s="365"/>
      <c r="K21" s="366"/>
      <c r="L21" s="366"/>
      <c r="M21" s="366"/>
      <c r="N21" s="366"/>
      <c r="O21" s="367"/>
      <c r="P21" s="365"/>
      <c r="Q21" s="366"/>
      <c r="R21" s="366"/>
      <c r="S21" s="366"/>
      <c r="T21" s="366"/>
      <c r="U21" s="367"/>
      <c r="V21" s="384"/>
      <c r="W21" s="385"/>
      <c r="X21" s="385"/>
      <c r="Y21" s="385"/>
      <c r="Z21" s="385"/>
      <c r="AA21" s="386"/>
      <c r="AB21" s="384"/>
      <c r="AC21" s="385"/>
      <c r="AD21" s="385"/>
      <c r="AE21" s="385"/>
      <c r="AF21" s="385"/>
      <c r="AG21" s="386"/>
      <c r="AH21" s="374"/>
      <c r="AI21" s="375"/>
      <c r="AJ21" s="375"/>
      <c r="AK21" s="375"/>
      <c r="AL21" s="375"/>
      <c r="AM21" s="376"/>
      <c r="AN21" s="82"/>
      <c r="AO21" s="419"/>
      <c r="AP21" s="420"/>
      <c r="AQ21" s="420"/>
      <c r="AR21" s="420"/>
      <c r="AS21" s="420"/>
      <c r="AT21" s="421"/>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402"/>
      <c r="C22" s="402"/>
      <c r="D22" s="403"/>
      <c r="E22" s="391" t="s">
        <v>117</v>
      </c>
      <c r="F22" s="392"/>
      <c r="G22" s="392"/>
      <c r="H22" s="392"/>
      <c r="I22" s="393"/>
      <c r="J22" s="368" t="str">
        <f ca="1">IF(AND('Mapa Institucional 2024'!$H$9="Media",'Mapa Institucional 2024'!$L$9="Leve"),CONCATENATE("R",'Mapa Institucional 2024'!$A$9),"")</f>
        <v>R1</v>
      </c>
      <c r="K22" s="369"/>
      <c r="L22" s="369" t="str">
        <f ca="1">IF(AND('Mapa Institucional 2024'!$H$15="Media",'Mapa Institucional 2024'!$L$15="Leve"),CONCATENATE("R",'Mapa Institucional 2024'!$A$15),"")</f>
        <v/>
      </c>
      <c r="M22" s="369"/>
      <c r="N22" s="369" t="str">
        <f ca="1">IF(AND('Mapa Institucional 2024'!$H$21="Media",'Mapa Institucional 2024'!$L$21="Leve"),CONCATENATE("R",'Mapa Institucional 2024'!$A$21),"")</f>
        <v/>
      </c>
      <c r="O22" s="370"/>
      <c r="P22" s="368" t="str">
        <f ca="1">IF(AND('Mapa Institucional 2024'!$H$9="Media",'Mapa Institucional 2024'!$L$9="Menor"),CONCATENATE("R",'Mapa Institucional 2024'!$A$9),"")</f>
        <v/>
      </c>
      <c r="Q22" s="369"/>
      <c r="R22" s="369" t="str">
        <f ca="1">IF(AND('Mapa Institucional 2024'!$H$15="Media",'Mapa Institucional 2024'!$L$15="Menor"),CONCATENATE("R",'Mapa Institucional 2024'!$A$15),"")</f>
        <v/>
      </c>
      <c r="S22" s="369"/>
      <c r="T22" s="369" t="str">
        <f ca="1">IF(AND('Mapa Institucional 2024'!$H$21="Media",'Mapa Institucional 2024'!$L$21="Menor"),CONCATENATE("R",'Mapa Institucional 2024'!$A$21),"")</f>
        <v/>
      </c>
      <c r="U22" s="370"/>
      <c r="V22" s="368" t="str">
        <f ca="1">IF(AND('Mapa Institucional 2024'!$H$9="Media",'Mapa Institucional 2024'!$L$9="Moderado"),CONCATENATE("R",'Mapa Institucional 2024'!$A$9),"")</f>
        <v/>
      </c>
      <c r="W22" s="369"/>
      <c r="X22" s="369" t="str">
        <f ca="1">IF(AND('Mapa Institucional 2024'!$H$15="Media",'Mapa Institucional 2024'!$L$15="Moderado"),CONCATENATE("R",'Mapa Institucional 2024'!$A$15),"")</f>
        <v/>
      </c>
      <c r="Y22" s="369"/>
      <c r="Z22" s="369" t="str">
        <f ca="1">IF(AND('Mapa Institucional 2024'!$H$21="Media",'Mapa Institucional 2024'!$L$21="Moderado"),CONCATENATE("R",'Mapa Institucional 2024'!$A$21),"")</f>
        <v/>
      </c>
      <c r="AA22" s="370"/>
      <c r="AB22" s="387" t="str">
        <f ca="1">IF(AND('Mapa Institucional 2024'!$H$9="Media",'Mapa Institucional 2024'!$L$9="Mayor"),CONCATENATE("R",'Mapa Institucional 2024'!$A$9),"")</f>
        <v/>
      </c>
      <c r="AC22" s="388"/>
      <c r="AD22" s="388" t="str">
        <f ca="1">IF(AND('Mapa Institucional 2024'!$H$15="Media",'Mapa Institucional 2024'!$L$15="Mayor"),CONCATENATE("R",'Mapa Institucional 2024'!$A$15),"")</f>
        <v/>
      </c>
      <c r="AE22" s="388"/>
      <c r="AF22" s="388" t="str">
        <f ca="1">IF(AND('Mapa Institucional 2024'!$H$21="Media",'Mapa Institucional 2024'!$L$21="Mayor"),CONCATENATE("R",'Mapa Institucional 2024'!$A$21),"")</f>
        <v/>
      </c>
      <c r="AG22" s="389"/>
      <c r="AH22" s="377" t="str">
        <f ca="1">IF(AND('Mapa Institucional 2024'!$H$9="Media",'Mapa Institucional 2024'!$L$9="Catastrófico"),CONCATENATE("R",'Mapa Institucional 2024'!$A$9),"")</f>
        <v/>
      </c>
      <c r="AI22" s="378"/>
      <c r="AJ22" s="378" t="str">
        <f ca="1">IF(AND('Mapa Institucional 2024'!$H$15="Media",'Mapa Institucional 2024'!$L$15="Catastrófico"),CONCATENATE("R",'Mapa Institucional 2024'!$A$15),"")</f>
        <v/>
      </c>
      <c r="AK22" s="378"/>
      <c r="AL22" s="378" t="str">
        <f ca="1">IF(AND('Mapa Institucional 2024'!$H$21="Media",'Mapa Institucional 2024'!$L$21="Catastrófico"),CONCATENATE("R",'Mapa Institucional 2024'!$A$21),"")</f>
        <v/>
      </c>
      <c r="AM22" s="379"/>
      <c r="AN22" s="82"/>
      <c r="AO22" s="422" t="s">
        <v>81</v>
      </c>
      <c r="AP22" s="423"/>
      <c r="AQ22" s="423"/>
      <c r="AR22" s="423"/>
      <c r="AS22" s="423"/>
      <c r="AT22" s="424"/>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402"/>
      <c r="C23" s="402"/>
      <c r="D23" s="403"/>
      <c r="E23" s="394"/>
      <c r="F23" s="395"/>
      <c r="G23" s="395"/>
      <c r="H23" s="395"/>
      <c r="I23" s="396"/>
      <c r="J23" s="362"/>
      <c r="K23" s="363"/>
      <c r="L23" s="363"/>
      <c r="M23" s="363"/>
      <c r="N23" s="363"/>
      <c r="O23" s="364"/>
      <c r="P23" s="362"/>
      <c r="Q23" s="363"/>
      <c r="R23" s="363"/>
      <c r="S23" s="363"/>
      <c r="T23" s="363"/>
      <c r="U23" s="364"/>
      <c r="V23" s="362"/>
      <c r="W23" s="363"/>
      <c r="X23" s="363"/>
      <c r="Y23" s="363"/>
      <c r="Z23" s="363"/>
      <c r="AA23" s="364"/>
      <c r="AB23" s="380"/>
      <c r="AC23" s="381"/>
      <c r="AD23" s="381"/>
      <c r="AE23" s="381"/>
      <c r="AF23" s="381"/>
      <c r="AG23" s="383"/>
      <c r="AH23" s="371"/>
      <c r="AI23" s="372"/>
      <c r="AJ23" s="372"/>
      <c r="AK23" s="372"/>
      <c r="AL23" s="372"/>
      <c r="AM23" s="373"/>
      <c r="AN23" s="82"/>
      <c r="AO23" s="425"/>
      <c r="AP23" s="426"/>
      <c r="AQ23" s="426"/>
      <c r="AR23" s="426"/>
      <c r="AS23" s="426"/>
      <c r="AT23" s="42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402"/>
      <c r="C24" s="402"/>
      <c r="D24" s="403"/>
      <c r="E24" s="394"/>
      <c r="F24" s="395"/>
      <c r="G24" s="395"/>
      <c r="H24" s="395"/>
      <c r="I24" s="396"/>
      <c r="J24" s="362" t="str">
        <f ca="1">IF(AND('Mapa Institucional 2024'!$H$27="Media",'Mapa Institucional 2024'!$L$27="Leve"),CONCATENATE("R",'Mapa Institucional 2024'!$A$27),"")</f>
        <v/>
      </c>
      <c r="K24" s="363"/>
      <c r="L24" s="363" t="str">
        <f ca="1">IF(AND('Mapa Institucional 2024'!$H$33="Media",'Mapa Institucional 2024'!$L$33="Leve"),CONCATENATE("R",'Mapa Institucional 2024'!$A$33),"")</f>
        <v/>
      </c>
      <c r="M24" s="363"/>
      <c r="N24" s="363" t="str">
        <f ca="1">IF(AND('Mapa Institucional 2024'!$H$39="Media",'Mapa Institucional 2024'!$L$39="Leve"),CONCATENATE("R",'Mapa Institucional 2024'!$A$39),"")</f>
        <v/>
      </c>
      <c r="O24" s="364"/>
      <c r="P24" s="362" t="str">
        <f ca="1">IF(AND('Mapa Institucional 2024'!$H$27="Media",'Mapa Institucional 2024'!$L$27="Menor"),CONCATENATE("R",'Mapa Institucional 2024'!$A$27),"")</f>
        <v/>
      </c>
      <c r="Q24" s="363"/>
      <c r="R24" s="363" t="str">
        <f ca="1">IF(AND('Mapa Institucional 2024'!$H$33="Media",'Mapa Institucional 2024'!$L$33="Menor"),CONCATENATE("R",'Mapa Institucional 2024'!$A$33),"")</f>
        <v/>
      </c>
      <c r="S24" s="363"/>
      <c r="T24" s="363" t="str">
        <f ca="1">IF(AND('Mapa Institucional 2024'!$H$39="Media",'Mapa Institucional 2024'!$L$39="Menor"),CONCATENATE("R",'Mapa Institucional 2024'!$A$39),"")</f>
        <v/>
      </c>
      <c r="U24" s="364"/>
      <c r="V24" s="362" t="str">
        <f ca="1">IF(AND('Mapa Institucional 2024'!$H$27="Media",'Mapa Institucional 2024'!$L$27="Moderado"),CONCATENATE("R",'Mapa Institucional 2024'!$A$27),"")</f>
        <v/>
      </c>
      <c r="W24" s="363"/>
      <c r="X24" s="363" t="str">
        <f ca="1">IF(AND('Mapa Institucional 2024'!$H$33="Media",'Mapa Institucional 2024'!$L$33="Moderado"),CONCATENATE("R",'Mapa Institucional 2024'!$A$33),"")</f>
        <v/>
      </c>
      <c r="Y24" s="363"/>
      <c r="Z24" s="363" t="str">
        <f ca="1">IF(AND('Mapa Institucional 2024'!$H$39="Media",'Mapa Institucional 2024'!$L$39="Moderado"),CONCATENATE("R",'Mapa Institucional 2024'!$A$39),"")</f>
        <v/>
      </c>
      <c r="AA24" s="364"/>
      <c r="AB24" s="380" t="str">
        <f ca="1">IF(AND('Mapa Institucional 2024'!$H$27="Media",'Mapa Institucional 2024'!$L$27="Mayor"),CONCATENATE("R",'Mapa Institucional 2024'!$A$27),"")</f>
        <v/>
      </c>
      <c r="AC24" s="381"/>
      <c r="AD24" s="382" t="str">
        <f ca="1">IF(AND('Mapa Institucional 2024'!$H$33="Media",'Mapa Institucional 2024'!$L$33="Mayor"),CONCATENATE("R",'Mapa Institucional 2024'!$A$33),"")</f>
        <v/>
      </c>
      <c r="AE24" s="382"/>
      <c r="AF24" s="382" t="str">
        <f ca="1">IF(AND('Mapa Institucional 2024'!$H$39="Media",'Mapa Institucional 2024'!$L$39="Mayor"),CONCATENATE("R",'Mapa Institucional 2024'!$A$39),"")</f>
        <v/>
      </c>
      <c r="AG24" s="383"/>
      <c r="AH24" s="371" t="str">
        <f ca="1">IF(AND('Mapa Institucional 2024'!$H$27="Media",'Mapa Institucional 2024'!$L$27="Catastrófico"),CONCATENATE("R",'Mapa Institucional 2024'!$A$27),"")</f>
        <v/>
      </c>
      <c r="AI24" s="372"/>
      <c r="AJ24" s="372" t="str">
        <f ca="1">IF(AND('Mapa Institucional 2024'!$H$33="Media",'Mapa Institucional 2024'!$L$33="Catastrófico"),CONCATENATE("R",'Mapa Institucional 2024'!$A$33),"")</f>
        <v/>
      </c>
      <c r="AK24" s="372"/>
      <c r="AL24" s="372" t="str">
        <f ca="1">IF(AND('Mapa Institucional 2024'!$H$39="Media",'Mapa Institucional 2024'!$L$39="Catastrófico"),CONCATENATE("R",'Mapa Institucional 2024'!$A$39),"")</f>
        <v/>
      </c>
      <c r="AM24" s="373"/>
      <c r="AN24" s="82"/>
      <c r="AO24" s="425"/>
      <c r="AP24" s="426"/>
      <c r="AQ24" s="426"/>
      <c r="AR24" s="426"/>
      <c r="AS24" s="426"/>
      <c r="AT24" s="42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402"/>
      <c r="C25" s="402"/>
      <c r="D25" s="403"/>
      <c r="E25" s="394"/>
      <c r="F25" s="395"/>
      <c r="G25" s="395"/>
      <c r="H25" s="395"/>
      <c r="I25" s="396"/>
      <c r="J25" s="362"/>
      <c r="K25" s="363"/>
      <c r="L25" s="363"/>
      <c r="M25" s="363"/>
      <c r="N25" s="363"/>
      <c r="O25" s="364"/>
      <c r="P25" s="362"/>
      <c r="Q25" s="363"/>
      <c r="R25" s="363"/>
      <c r="S25" s="363"/>
      <c r="T25" s="363"/>
      <c r="U25" s="364"/>
      <c r="V25" s="362"/>
      <c r="W25" s="363"/>
      <c r="X25" s="363"/>
      <c r="Y25" s="363"/>
      <c r="Z25" s="363"/>
      <c r="AA25" s="364"/>
      <c r="AB25" s="380"/>
      <c r="AC25" s="381"/>
      <c r="AD25" s="382"/>
      <c r="AE25" s="382"/>
      <c r="AF25" s="382"/>
      <c r="AG25" s="383"/>
      <c r="AH25" s="371"/>
      <c r="AI25" s="372"/>
      <c r="AJ25" s="372"/>
      <c r="AK25" s="372"/>
      <c r="AL25" s="372"/>
      <c r="AM25" s="373"/>
      <c r="AN25" s="82"/>
      <c r="AO25" s="425"/>
      <c r="AP25" s="426"/>
      <c r="AQ25" s="426"/>
      <c r="AR25" s="426"/>
      <c r="AS25" s="426"/>
      <c r="AT25" s="427"/>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402"/>
      <c r="C26" s="402"/>
      <c r="D26" s="403"/>
      <c r="E26" s="394"/>
      <c r="F26" s="395"/>
      <c r="G26" s="395"/>
      <c r="H26" s="395"/>
      <c r="I26" s="396"/>
      <c r="J26" s="362" t="str">
        <f ca="1">IF(AND('Mapa Institucional 2024'!$H$45="Media",'Mapa Institucional 2024'!$L$45="Leve"),CONCATENATE("R",'Mapa Institucional 2024'!$A$45),"")</f>
        <v/>
      </c>
      <c r="K26" s="363"/>
      <c r="L26" s="363" t="str">
        <f ca="1">IF(AND('Mapa Institucional 2024'!$H$51="Media",'Mapa Institucional 2024'!$L$51="Leve"),CONCATENATE("R",'Mapa Institucional 2024'!$A$51),"")</f>
        <v/>
      </c>
      <c r="M26" s="363"/>
      <c r="N26" s="363" t="str">
        <f ca="1">IF(AND('Mapa Institucional 2024'!$H$57="Media",'Mapa Institucional 2024'!$L$57="Leve"),CONCATENATE("R",'Mapa Institucional 2024'!$A$57),"")</f>
        <v/>
      </c>
      <c r="O26" s="364"/>
      <c r="P26" s="362" t="str">
        <f ca="1">IF(AND('Mapa Institucional 2024'!$H$45="Media",'Mapa Institucional 2024'!$L$45="Menor"),CONCATENATE("R",'Mapa Institucional 2024'!$A$45),"")</f>
        <v/>
      </c>
      <c r="Q26" s="363"/>
      <c r="R26" s="363" t="str">
        <f ca="1">IF(AND('Mapa Institucional 2024'!$H$51="Media",'Mapa Institucional 2024'!$L$51="Menor"),CONCATENATE("R",'Mapa Institucional 2024'!$A$51),"")</f>
        <v/>
      </c>
      <c r="S26" s="363"/>
      <c r="T26" s="363" t="str">
        <f ca="1">IF(AND('Mapa Institucional 2024'!$H$57="Media",'Mapa Institucional 2024'!$L$57="Menor"),CONCATENATE("R",'Mapa Institucional 2024'!$A$57),"")</f>
        <v/>
      </c>
      <c r="U26" s="364"/>
      <c r="V26" s="362" t="str">
        <f ca="1">IF(AND('Mapa Institucional 2024'!$H$45="Media",'Mapa Institucional 2024'!$L$45="Moderado"),CONCATENATE("R",'Mapa Institucional 2024'!$A$45),"")</f>
        <v/>
      </c>
      <c r="W26" s="363"/>
      <c r="X26" s="363" t="str">
        <f ca="1">IF(AND('Mapa Institucional 2024'!$H$51="Media",'Mapa Institucional 2024'!$L$51="Moderado"),CONCATENATE("R",'Mapa Institucional 2024'!$A$51),"")</f>
        <v/>
      </c>
      <c r="Y26" s="363"/>
      <c r="Z26" s="363" t="str">
        <f ca="1">IF(AND('Mapa Institucional 2024'!$H$57="Media",'Mapa Institucional 2024'!$L$57="Moderado"),CONCATENATE("R",'Mapa Institucional 2024'!$A$57),"")</f>
        <v/>
      </c>
      <c r="AA26" s="364"/>
      <c r="AB26" s="380" t="str">
        <f ca="1">IF(AND('Mapa Institucional 2024'!$H$45="Media",'Mapa Institucional 2024'!$L$45="Mayor"),CONCATENATE("R",'Mapa Institucional 2024'!$A$45),"")</f>
        <v/>
      </c>
      <c r="AC26" s="381"/>
      <c r="AD26" s="382" t="str">
        <f ca="1">IF(AND('Mapa Institucional 2024'!$H$51="Media",'Mapa Institucional 2024'!$L$51="Mayor"),CONCATENATE("R",'Mapa Institucional 2024'!$A$51),"")</f>
        <v/>
      </c>
      <c r="AE26" s="382"/>
      <c r="AF26" s="382" t="str">
        <f ca="1">IF(AND('Mapa Institucional 2024'!$H$57="Media",'Mapa Institucional 2024'!$L$57="Mayor"),CONCATENATE("R",'Mapa Institucional 2024'!$A$57),"")</f>
        <v/>
      </c>
      <c r="AG26" s="383"/>
      <c r="AH26" s="371" t="str">
        <f ca="1">IF(AND('Mapa Institucional 2024'!$H$45="Media",'Mapa Institucional 2024'!$L$45="Catastrófico"),CONCATENATE("R",'Mapa Institucional 2024'!$A$45),"")</f>
        <v/>
      </c>
      <c r="AI26" s="372"/>
      <c r="AJ26" s="372" t="str">
        <f ca="1">IF(AND('Mapa Institucional 2024'!$H$51="Media",'Mapa Institucional 2024'!$L$51="Catastrófico"),CONCATENATE("R",'Mapa Institucional 2024'!$A$51),"")</f>
        <v/>
      </c>
      <c r="AK26" s="372"/>
      <c r="AL26" s="372" t="str">
        <f ca="1">IF(AND('Mapa Institucional 2024'!$H$57="Media",'Mapa Institucional 2024'!$L$57="Catastrófico"),CONCATENATE("R",'Mapa Institucional 2024'!$A$57),"")</f>
        <v/>
      </c>
      <c r="AM26" s="373"/>
      <c r="AN26" s="82"/>
      <c r="AO26" s="425"/>
      <c r="AP26" s="426"/>
      <c r="AQ26" s="426"/>
      <c r="AR26" s="426"/>
      <c r="AS26" s="426"/>
      <c r="AT26" s="42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402"/>
      <c r="C27" s="402"/>
      <c r="D27" s="403"/>
      <c r="E27" s="394"/>
      <c r="F27" s="395"/>
      <c r="G27" s="395"/>
      <c r="H27" s="395"/>
      <c r="I27" s="396"/>
      <c r="J27" s="362"/>
      <c r="K27" s="363"/>
      <c r="L27" s="363"/>
      <c r="M27" s="363"/>
      <c r="N27" s="363"/>
      <c r="O27" s="364"/>
      <c r="P27" s="362"/>
      <c r="Q27" s="363"/>
      <c r="R27" s="363"/>
      <c r="S27" s="363"/>
      <c r="T27" s="363"/>
      <c r="U27" s="364"/>
      <c r="V27" s="362"/>
      <c r="W27" s="363"/>
      <c r="X27" s="363"/>
      <c r="Y27" s="363"/>
      <c r="Z27" s="363"/>
      <c r="AA27" s="364"/>
      <c r="AB27" s="380"/>
      <c r="AC27" s="381"/>
      <c r="AD27" s="382"/>
      <c r="AE27" s="382"/>
      <c r="AF27" s="382"/>
      <c r="AG27" s="383"/>
      <c r="AH27" s="371"/>
      <c r="AI27" s="372"/>
      <c r="AJ27" s="372"/>
      <c r="AK27" s="372"/>
      <c r="AL27" s="372"/>
      <c r="AM27" s="373"/>
      <c r="AN27" s="82"/>
      <c r="AO27" s="425"/>
      <c r="AP27" s="426"/>
      <c r="AQ27" s="426"/>
      <c r="AR27" s="426"/>
      <c r="AS27" s="426"/>
      <c r="AT27" s="427"/>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402"/>
      <c r="C28" s="402"/>
      <c r="D28" s="403"/>
      <c r="E28" s="394"/>
      <c r="F28" s="395"/>
      <c r="G28" s="395"/>
      <c r="H28" s="395"/>
      <c r="I28" s="396"/>
      <c r="J28" s="362" t="str">
        <f ca="1">IF(AND('Mapa Institucional 2024'!$H$63="Media",'Mapa Institucional 2024'!$L$63="Leve"),CONCATENATE("R",'Mapa Institucional 2024'!$A$63),"")</f>
        <v/>
      </c>
      <c r="K28" s="363"/>
      <c r="L28" s="363" t="e">
        <f>IF(AND('Mapa Institucional 2024'!#REF!="Media",'Mapa Institucional 2024'!#REF!="Leve"),CONCATENATE("R",'Mapa Institucional 2024'!#REF!),"")</f>
        <v>#REF!</v>
      </c>
      <c r="M28" s="363"/>
      <c r="N28" s="363" t="e">
        <f>IF(AND('Mapa Institucional 2024'!#REF!="Media",'Mapa Institucional 2024'!#REF!="Leve"),CONCATENATE("R",'Mapa Institucional 2024'!#REF!),"")</f>
        <v>#REF!</v>
      </c>
      <c r="O28" s="364"/>
      <c r="P28" s="362" t="str">
        <f ca="1">IF(AND('Mapa Institucional 2024'!$H$63="Media",'Mapa Institucional 2024'!$L$63="Menor"),CONCATENATE("R",'Mapa Institucional 2024'!$A$63),"")</f>
        <v/>
      </c>
      <c r="Q28" s="363"/>
      <c r="R28" s="363" t="e">
        <f>IF(AND('Mapa Institucional 2024'!#REF!="Media",'Mapa Institucional 2024'!#REF!="Menor"),CONCATENATE("R",'Mapa Institucional 2024'!#REF!),"")</f>
        <v>#REF!</v>
      </c>
      <c r="S28" s="363"/>
      <c r="T28" s="363" t="e">
        <f>IF(AND('Mapa Institucional 2024'!#REF!="Media",'Mapa Institucional 2024'!#REF!="Menor"),CONCATENATE("R",'Mapa Institucional 2024'!#REF!),"")</f>
        <v>#REF!</v>
      </c>
      <c r="U28" s="364"/>
      <c r="V28" s="362" t="str">
        <f ca="1">IF(AND('Mapa Institucional 2024'!$H$63="Media",'Mapa Institucional 2024'!$L$63="Moderado"),CONCATENATE("R",'Mapa Institucional 2024'!$A$63),"")</f>
        <v/>
      </c>
      <c r="W28" s="363"/>
      <c r="X28" s="363" t="e">
        <f>IF(AND('Mapa Institucional 2024'!#REF!="Media",'Mapa Institucional 2024'!#REF!="Moderado"),CONCATENATE("R",'Mapa Institucional 2024'!#REF!),"")</f>
        <v>#REF!</v>
      </c>
      <c r="Y28" s="363"/>
      <c r="Z28" s="363" t="e">
        <f>IF(AND('Mapa Institucional 2024'!#REF!="Media",'Mapa Institucional 2024'!#REF!="Moderado"),CONCATENATE("R",'Mapa Institucional 2024'!#REF!),"")</f>
        <v>#REF!</v>
      </c>
      <c r="AA28" s="364"/>
      <c r="AB28" s="380" t="str">
        <f ca="1">IF(AND('Mapa Institucional 2024'!$H$63="Media",'Mapa Institucional 2024'!$L$63="Mayor"),CONCATENATE("R",'Mapa Institucional 2024'!$A$63),"")</f>
        <v/>
      </c>
      <c r="AC28" s="381"/>
      <c r="AD28" s="382" t="e">
        <f>IF(AND('Mapa Institucional 2024'!#REF!="Media",'Mapa Institucional 2024'!#REF!="Mayor"),CONCATENATE("R",'Mapa Institucional 2024'!#REF!),"")</f>
        <v>#REF!</v>
      </c>
      <c r="AE28" s="382"/>
      <c r="AF28" s="382" t="e">
        <f>IF(AND('Mapa Institucional 2024'!#REF!="Media",'Mapa Institucional 2024'!#REF!="Mayor"),CONCATENATE("R",'Mapa Institucional 2024'!#REF!),"")</f>
        <v>#REF!</v>
      </c>
      <c r="AG28" s="383"/>
      <c r="AH28" s="371" t="str">
        <f ca="1">IF(AND('Mapa Institucional 2024'!$H$63="Media",'Mapa Institucional 2024'!$L$63="Catastrófico"),CONCATENATE("R",'Mapa Institucional 2024'!$A$63),"")</f>
        <v/>
      </c>
      <c r="AI28" s="372"/>
      <c r="AJ28" s="372" t="e">
        <f>IF(AND('Mapa Institucional 2024'!#REF!="Media",'Mapa Institucional 2024'!#REF!="Catastrófico"),CONCATENATE("R",'Mapa Institucional 2024'!#REF!),"")</f>
        <v>#REF!</v>
      </c>
      <c r="AK28" s="372"/>
      <c r="AL28" s="372" t="e">
        <f>IF(AND('Mapa Institucional 2024'!#REF!="Media",'Mapa Institucional 2024'!#REF!="Catastrófico"),CONCATENATE("R",'Mapa Institucional 2024'!#REF!),"")</f>
        <v>#REF!</v>
      </c>
      <c r="AM28" s="373"/>
      <c r="AN28" s="82"/>
      <c r="AO28" s="425"/>
      <c r="AP28" s="426"/>
      <c r="AQ28" s="426"/>
      <c r="AR28" s="426"/>
      <c r="AS28" s="426"/>
      <c r="AT28" s="427"/>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402"/>
      <c r="C29" s="402"/>
      <c r="D29" s="403"/>
      <c r="E29" s="397"/>
      <c r="F29" s="398"/>
      <c r="G29" s="398"/>
      <c r="H29" s="398"/>
      <c r="I29" s="399"/>
      <c r="J29" s="362"/>
      <c r="K29" s="363"/>
      <c r="L29" s="363"/>
      <c r="M29" s="363"/>
      <c r="N29" s="363"/>
      <c r="O29" s="364"/>
      <c r="P29" s="365"/>
      <c r="Q29" s="366"/>
      <c r="R29" s="366"/>
      <c r="S29" s="366"/>
      <c r="T29" s="366"/>
      <c r="U29" s="367"/>
      <c r="V29" s="365"/>
      <c r="W29" s="366"/>
      <c r="X29" s="366"/>
      <c r="Y29" s="366"/>
      <c r="Z29" s="366"/>
      <c r="AA29" s="367"/>
      <c r="AB29" s="384"/>
      <c r="AC29" s="385"/>
      <c r="AD29" s="385"/>
      <c r="AE29" s="385"/>
      <c r="AF29" s="385"/>
      <c r="AG29" s="386"/>
      <c r="AH29" s="374"/>
      <c r="AI29" s="375"/>
      <c r="AJ29" s="375"/>
      <c r="AK29" s="375"/>
      <c r="AL29" s="375"/>
      <c r="AM29" s="376"/>
      <c r="AN29" s="82"/>
      <c r="AO29" s="428"/>
      <c r="AP29" s="429"/>
      <c r="AQ29" s="429"/>
      <c r="AR29" s="429"/>
      <c r="AS29" s="429"/>
      <c r="AT29" s="43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402"/>
      <c r="C30" s="402"/>
      <c r="D30" s="403"/>
      <c r="E30" s="391" t="s">
        <v>114</v>
      </c>
      <c r="F30" s="392"/>
      <c r="G30" s="392"/>
      <c r="H30" s="392"/>
      <c r="I30" s="392"/>
      <c r="J30" s="359" t="str">
        <f ca="1">IF(AND('Mapa Institucional 2024'!$H$9="Baja",'Mapa Institucional 2024'!$L$9="Leve"),CONCATENATE("R",'Mapa Institucional 2024'!$A$9),"")</f>
        <v/>
      </c>
      <c r="K30" s="360"/>
      <c r="L30" s="360" t="str">
        <f ca="1">IF(AND('Mapa Institucional 2024'!$H$15="Baja",'Mapa Institucional 2024'!$L$15="Leve"),CONCATENATE("R",'Mapa Institucional 2024'!$A$15),"")</f>
        <v/>
      </c>
      <c r="M30" s="360"/>
      <c r="N30" s="360" t="str">
        <f ca="1">IF(AND('Mapa Institucional 2024'!$H$21="Baja",'Mapa Institucional 2024'!$L$21="Leve"),CONCATENATE("R",'Mapa Institucional 2024'!$A$21),"")</f>
        <v/>
      </c>
      <c r="O30" s="361"/>
      <c r="P30" s="369" t="str">
        <f ca="1">IF(AND('Mapa Institucional 2024'!$H$9="Baja",'Mapa Institucional 2024'!$L$9="Menor"),CONCATENATE("R",'Mapa Institucional 2024'!$A$9),"")</f>
        <v/>
      </c>
      <c r="Q30" s="369"/>
      <c r="R30" s="369" t="str">
        <f ca="1">IF(AND('Mapa Institucional 2024'!$H$15="Baja",'Mapa Institucional 2024'!$L$15="Menor"),CONCATENATE("R",'Mapa Institucional 2024'!$A$15),"")</f>
        <v/>
      </c>
      <c r="S30" s="369"/>
      <c r="T30" s="369" t="str">
        <f ca="1">IF(AND('Mapa Institucional 2024'!$H$21="Baja",'Mapa Institucional 2024'!$L$21="Menor"),CONCATENATE("R",'Mapa Institucional 2024'!$A$21),"")</f>
        <v/>
      </c>
      <c r="U30" s="370"/>
      <c r="V30" s="368" t="str">
        <f ca="1">IF(AND('Mapa Institucional 2024'!$H$9="Baja",'Mapa Institucional 2024'!$L$9="Moderado"),CONCATENATE("R",'Mapa Institucional 2024'!$A$9),"")</f>
        <v/>
      </c>
      <c r="W30" s="369"/>
      <c r="X30" s="369" t="str">
        <f ca="1">IF(AND('Mapa Institucional 2024'!$H$15="Baja",'Mapa Institucional 2024'!$L$15="Moderado"),CONCATENATE("R",'Mapa Institucional 2024'!$A$15),"")</f>
        <v/>
      </c>
      <c r="Y30" s="369"/>
      <c r="Z30" s="369" t="str">
        <f ca="1">IF(AND('Mapa Institucional 2024'!$H$21="Baja",'Mapa Institucional 2024'!$L$21="Moderado"),CONCATENATE("R",'Mapa Institucional 2024'!$A$21),"")</f>
        <v/>
      </c>
      <c r="AA30" s="370"/>
      <c r="AB30" s="387" t="str">
        <f ca="1">IF(AND('Mapa Institucional 2024'!$H$9="Baja",'Mapa Institucional 2024'!$L$9="Mayor"),CONCATENATE("R",'Mapa Institucional 2024'!$A$9),"")</f>
        <v/>
      </c>
      <c r="AC30" s="388"/>
      <c r="AD30" s="388" t="str">
        <f ca="1">IF(AND('Mapa Institucional 2024'!$H$15="Baja",'Mapa Institucional 2024'!$L$15="Mayor"),CONCATENATE("R",'Mapa Institucional 2024'!$A$15),"")</f>
        <v/>
      </c>
      <c r="AE30" s="388"/>
      <c r="AF30" s="388" t="str">
        <f ca="1">IF(AND('Mapa Institucional 2024'!$H$21="Baja",'Mapa Institucional 2024'!$L$21="Mayor"),CONCATENATE("R",'Mapa Institucional 2024'!$A$21),"")</f>
        <v/>
      </c>
      <c r="AG30" s="389"/>
      <c r="AH30" s="377" t="str">
        <f ca="1">IF(AND('Mapa Institucional 2024'!$H$9="Baja",'Mapa Institucional 2024'!$L$9="Catastrófico"),CONCATENATE("R",'Mapa Institucional 2024'!$A$9),"")</f>
        <v/>
      </c>
      <c r="AI30" s="378"/>
      <c r="AJ30" s="378" t="str">
        <f ca="1">IF(AND('Mapa Institucional 2024'!$H$15="Baja",'Mapa Institucional 2024'!$L$15="Catastrófico"),CONCATENATE("R",'Mapa Institucional 2024'!$A$15),"")</f>
        <v/>
      </c>
      <c r="AK30" s="378"/>
      <c r="AL30" s="378" t="str">
        <f ca="1">IF(AND('Mapa Institucional 2024'!$H$21="Baja",'Mapa Institucional 2024'!$L$21="Catastrófico"),CONCATENATE("R",'Mapa Institucional 2024'!$A$21),"")</f>
        <v/>
      </c>
      <c r="AM30" s="379"/>
      <c r="AN30" s="82"/>
      <c r="AO30" s="431" t="s">
        <v>82</v>
      </c>
      <c r="AP30" s="432"/>
      <c r="AQ30" s="432"/>
      <c r="AR30" s="432"/>
      <c r="AS30" s="432"/>
      <c r="AT30" s="433"/>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402"/>
      <c r="C31" s="402"/>
      <c r="D31" s="403"/>
      <c r="E31" s="394"/>
      <c r="F31" s="395"/>
      <c r="G31" s="395"/>
      <c r="H31" s="395"/>
      <c r="I31" s="400"/>
      <c r="J31" s="353"/>
      <c r="K31" s="354"/>
      <c r="L31" s="354"/>
      <c r="M31" s="354"/>
      <c r="N31" s="354"/>
      <c r="O31" s="355"/>
      <c r="P31" s="363"/>
      <c r="Q31" s="363"/>
      <c r="R31" s="363"/>
      <c r="S31" s="363"/>
      <c r="T31" s="363"/>
      <c r="U31" s="364"/>
      <c r="V31" s="362"/>
      <c r="W31" s="363"/>
      <c r="X31" s="363"/>
      <c r="Y31" s="363"/>
      <c r="Z31" s="363"/>
      <c r="AA31" s="364"/>
      <c r="AB31" s="380"/>
      <c r="AC31" s="381"/>
      <c r="AD31" s="381"/>
      <c r="AE31" s="381"/>
      <c r="AF31" s="381"/>
      <c r="AG31" s="383"/>
      <c r="AH31" s="371"/>
      <c r="AI31" s="372"/>
      <c r="AJ31" s="372"/>
      <c r="AK31" s="372"/>
      <c r="AL31" s="372"/>
      <c r="AM31" s="373"/>
      <c r="AN31" s="82"/>
      <c r="AO31" s="434"/>
      <c r="AP31" s="435"/>
      <c r="AQ31" s="435"/>
      <c r="AR31" s="435"/>
      <c r="AS31" s="435"/>
      <c r="AT31" s="43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402"/>
      <c r="C32" s="402"/>
      <c r="D32" s="403"/>
      <c r="E32" s="394"/>
      <c r="F32" s="395"/>
      <c r="G32" s="395"/>
      <c r="H32" s="395"/>
      <c r="I32" s="400"/>
      <c r="J32" s="353" t="str">
        <f ca="1">IF(AND('Mapa Institucional 2024'!$H$27="Baja",'Mapa Institucional 2024'!$L$27="Leve"),CONCATENATE("R",'Mapa Institucional 2024'!$A$27),"")</f>
        <v/>
      </c>
      <c r="K32" s="354"/>
      <c r="L32" s="354" t="str">
        <f ca="1">IF(AND('Mapa Institucional 2024'!$H$33="Baja",'Mapa Institucional 2024'!$L$33="Leve"),CONCATENATE("R",'Mapa Institucional 2024'!$A$33),"")</f>
        <v/>
      </c>
      <c r="M32" s="354"/>
      <c r="N32" s="354" t="str">
        <f ca="1">IF(AND('Mapa Institucional 2024'!$H$39="Baja",'Mapa Institucional 2024'!$L$39="Leve"),CONCATENATE("R",'Mapa Institucional 2024'!$A$39),"")</f>
        <v/>
      </c>
      <c r="O32" s="355"/>
      <c r="P32" s="363" t="str">
        <f ca="1">IF(AND('Mapa Institucional 2024'!$H$27="Baja",'Mapa Institucional 2024'!$L$27="Menor"),CONCATENATE("R",'Mapa Institucional 2024'!$A$27),"")</f>
        <v/>
      </c>
      <c r="Q32" s="363"/>
      <c r="R32" s="363" t="str">
        <f ca="1">IF(AND('Mapa Institucional 2024'!$H$33="Baja",'Mapa Institucional 2024'!$L$33="Menor"),CONCATENATE("R",'Mapa Institucional 2024'!$A$33),"")</f>
        <v/>
      </c>
      <c r="S32" s="363"/>
      <c r="T32" s="363" t="str">
        <f ca="1">IF(AND('Mapa Institucional 2024'!$H$39="Baja",'Mapa Institucional 2024'!$L$39="Menor"),CONCATENATE("R",'Mapa Institucional 2024'!$A$39),"")</f>
        <v/>
      </c>
      <c r="U32" s="364"/>
      <c r="V32" s="362" t="str">
        <f ca="1">IF(AND('Mapa Institucional 2024'!$H$27="Baja",'Mapa Institucional 2024'!$L$27="Moderado"),CONCATENATE("R",'Mapa Institucional 2024'!$A$27),"")</f>
        <v/>
      </c>
      <c r="W32" s="363"/>
      <c r="X32" s="363" t="str">
        <f ca="1">IF(AND('Mapa Institucional 2024'!$H$33="Baja",'Mapa Institucional 2024'!$L$33="Moderado"),CONCATENATE("R",'Mapa Institucional 2024'!$A$33),"")</f>
        <v/>
      </c>
      <c r="Y32" s="363"/>
      <c r="Z32" s="363" t="str">
        <f ca="1">IF(AND('Mapa Institucional 2024'!$H$39="Baja",'Mapa Institucional 2024'!$L$39="Moderado"),CONCATENATE("R",'Mapa Institucional 2024'!$A$39),"")</f>
        <v/>
      </c>
      <c r="AA32" s="364"/>
      <c r="AB32" s="380" t="str">
        <f ca="1">IF(AND('Mapa Institucional 2024'!$H$27="Baja",'Mapa Institucional 2024'!$L$27="Mayor"),CONCATENATE("R",'Mapa Institucional 2024'!$A$27),"")</f>
        <v/>
      </c>
      <c r="AC32" s="381"/>
      <c r="AD32" s="382" t="str">
        <f ca="1">IF(AND('Mapa Institucional 2024'!$H$33="Baja",'Mapa Institucional 2024'!$L$33="Mayor"),CONCATENATE("R",'Mapa Institucional 2024'!$A$33),"")</f>
        <v/>
      </c>
      <c r="AE32" s="382"/>
      <c r="AF32" s="382" t="str">
        <f ca="1">IF(AND('Mapa Institucional 2024'!$H$39="Baja",'Mapa Institucional 2024'!$L$39="Mayor"),CONCATENATE("R",'Mapa Institucional 2024'!$A$39),"")</f>
        <v/>
      </c>
      <c r="AG32" s="383"/>
      <c r="AH32" s="371" t="str">
        <f ca="1">IF(AND('Mapa Institucional 2024'!$H$27="Baja",'Mapa Institucional 2024'!$L$27="Catastrófico"),CONCATENATE("R",'Mapa Institucional 2024'!$A$27),"")</f>
        <v/>
      </c>
      <c r="AI32" s="372"/>
      <c r="AJ32" s="372" t="str">
        <f ca="1">IF(AND('Mapa Institucional 2024'!$H$33="Baja",'Mapa Institucional 2024'!$L$33="Catastrófico"),CONCATENATE("R",'Mapa Institucional 2024'!$A$33),"")</f>
        <v/>
      </c>
      <c r="AK32" s="372"/>
      <c r="AL32" s="372" t="str">
        <f ca="1">IF(AND('Mapa Institucional 2024'!$H$39="Baja",'Mapa Institucional 2024'!$L$39="Catastrófico"),CONCATENATE("R",'Mapa Institucional 2024'!$A$39),"")</f>
        <v/>
      </c>
      <c r="AM32" s="373"/>
      <c r="AN32" s="82"/>
      <c r="AO32" s="434"/>
      <c r="AP32" s="435"/>
      <c r="AQ32" s="435"/>
      <c r="AR32" s="435"/>
      <c r="AS32" s="435"/>
      <c r="AT32" s="43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402"/>
      <c r="C33" s="402"/>
      <c r="D33" s="403"/>
      <c r="E33" s="394"/>
      <c r="F33" s="395"/>
      <c r="G33" s="395"/>
      <c r="H33" s="395"/>
      <c r="I33" s="400"/>
      <c r="J33" s="353"/>
      <c r="K33" s="354"/>
      <c r="L33" s="354"/>
      <c r="M33" s="354"/>
      <c r="N33" s="354"/>
      <c r="O33" s="355"/>
      <c r="P33" s="363"/>
      <c r="Q33" s="363"/>
      <c r="R33" s="363"/>
      <c r="S33" s="363"/>
      <c r="T33" s="363"/>
      <c r="U33" s="364"/>
      <c r="V33" s="362"/>
      <c r="W33" s="363"/>
      <c r="X33" s="363"/>
      <c r="Y33" s="363"/>
      <c r="Z33" s="363"/>
      <c r="AA33" s="364"/>
      <c r="AB33" s="380"/>
      <c r="AC33" s="381"/>
      <c r="AD33" s="382"/>
      <c r="AE33" s="382"/>
      <c r="AF33" s="382"/>
      <c r="AG33" s="383"/>
      <c r="AH33" s="371"/>
      <c r="AI33" s="372"/>
      <c r="AJ33" s="372"/>
      <c r="AK33" s="372"/>
      <c r="AL33" s="372"/>
      <c r="AM33" s="373"/>
      <c r="AN33" s="82"/>
      <c r="AO33" s="434"/>
      <c r="AP33" s="435"/>
      <c r="AQ33" s="435"/>
      <c r="AR33" s="435"/>
      <c r="AS33" s="435"/>
      <c r="AT33" s="43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402"/>
      <c r="C34" s="402"/>
      <c r="D34" s="403"/>
      <c r="E34" s="394"/>
      <c r="F34" s="395"/>
      <c r="G34" s="395"/>
      <c r="H34" s="395"/>
      <c r="I34" s="400"/>
      <c r="J34" s="353" t="str">
        <f ca="1">IF(AND('Mapa Institucional 2024'!$H$45="Baja",'Mapa Institucional 2024'!$L$45="Leve"),CONCATENATE("R",'Mapa Institucional 2024'!$A$45),"")</f>
        <v/>
      </c>
      <c r="K34" s="354"/>
      <c r="L34" s="354" t="str">
        <f ca="1">IF(AND('Mapa Institucional 2024'!$H$51="Baja",'Mapa Institucional 2024'!$L$51="Leve"),CONCATENATE("R",'Mapa Institucional 2024'!$A$51),"")</f>
        <v/>
      </c>
      <c r="M34" s="354"/>
      <c r="N34" s="354" t="str">
        <f ca="1">IF(AND('Mapa Institucional 2024'!$H$57="Baja",'Mapa Institucional 2024'!$L$57="Leve"),CONCATENATE("R",'Mapa Institucional 2024'!$A$57),"")</f>
        <v/>
      </c>
      <c r="O34" s="355"/>
      <c r="P34" s="363" t="str">
        <f ca="1">IF(AND('Mapa Institucional 2024'!$H$45="Baja",'Mapa Institucional 2024'!$L$45="Menor"),CONCATENATE("R",'Mapa Institucional 2024'!$A$45),"")</f>
        <v/>
      </c>
      <c r="Q34" s="363"/>
      <c r="R34" s="363" t="str">
        <f ca="1">IF(AND('Mapa Institucional 2024'!$H$51="Baja",'Mapa Institucional 2024'!$L$51="Menor"),CONCATENATE("R",'Mapa Institucional 2024'!$A$51),"")</f>
        <v/>
      </c>
      <c r="S34" s="363"/>
      <c r="T34" s="363" t="str">
        <f ca="1">IF(AND('Mapa Institucional 2024'!$H$57="Baja",'Mapa Institucional 2024'!$L$57="Menor"),CONCATENATE("R",'Mapa Institucional 2024'!$A$57),"")</f>
        <v/>
      </c>
      <c r="U34" s="364"/>
      <c r="V34" s="362" t="str">
        <f ca="1">IF(AND('Mapa Institucional 2024'!$H$45="Baja",'Mapa Institucional 2024'!$L$45="Moderado"),CONCATENATE("R",'Mapa Institucional 2024'!$A$45),"")</f>
        <v/>
      </c>
      <c r="W34" s="363"/>
      <c r="X34" s="363" t="str">
        <f ca="1">IF(AND('Mapa Institucional 2024'!$H$51="Baja",'Mapa Institucional 2024'!$L$51="Moderado"),CONCATENATE("R",'Mapa Institucional 2024'!$A$51),"")</f>
        <v/>
      </c>
      <c r="Y34" s="363"/>
      <c r="Z34" s="363" t="str">
        <f ca="1">IF(AND('Mapa Institucional 2024'!$H$57="Baja",'Mapa Institucional 2024'!$L$57="Moderado"),CONCATENATE("R",'Mapa Institucional 2024'!$A$57),"")</f>
        <v/>
      </c>
      <c r="AA34" s="364"/>
      <c r="AB34" s="380" t="str">
        <f ca="1">IF(AND('Mapa Institucional 2024'!$H$45="Baja",'Mapa Institucional 2024'!$L$45="Mayor"),CONCATENATE("R",'Mapa Institucional 2024'!$A$45),"")</f>
        <v/>
      </c>
      <c r="AC34" s="381"/>
      <c r="AD34" s="382" t="str">
        <f ca="1">IF(AND('Mapa Institucional 2024'!$H$51="Baja",'Mapa Institucional 2024'!$L$51="Mayor"),CONCATENATE("R",'Mapa Institucional 2024'!$A$51),"")</f>
        <v/>
      </c>
      <c r="AE34" s="382"/>
      <c r="AF34" s="382" t="str">
        <f ca="1">IF(AND('Mapa Institucional 2024'!$H$57="Baja",'Mapa Institucional 2024'!$L$57="Mayor"),CONCATENATE("R",'Mapa Institucional 2024'!$A$57),"")</f>
        <v/>
      </c>
      <c r="AG34" s="383"/>
      <c r="AH34" s="371" t="str">
        <f ca="1">IF(AND('Mapa Institucional 2024'!$H$45="Baja",'Mapa Institucional 2024'!$L$45="Catastrófico"),CONCATENATE("R",'Mapa Institucional 2024'!$A$45),"")</f>
        <v/>
      </c>
      <c r="AI34" s="372"/>
      <c r="AJ34" s="372" t="str">
        <f ca="1">IF(AND('Mapa Institucional 2024'!$H$51="Baja",'Mapa Institucional 2024'!$L$51="Catastrófico"),CONCATENATE("R",'Mapa Institucional 2024'!$A$51),"")</f>
        <v/>
      </c>
      <c r="AK34" s="372"/>
      <c r="AL34" s="372" t="str">
        <f ca="1">IF(AND('Mapa Institucional 2024'!$H$57="Baja",'Mapa Institucional 2024'!$L$57="Catastrófico"),CONCATENATE("R",'Mapa Institucional 2024'!$A$57),"")</f>
        <v/>
      </c>
      <c r="AM34" s="373"/>
      <c r="AN34" s="82"/>
      <c r="AO34" s="434"/>
      <c r="AP34" s="435"/>
      <c r="AQ34" s="435"/>
      <c r="AR34" s="435"/>
      <c r="AS34" s="435"/>
      <c r="AT34" s="43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402"/>
      <c r="C35" s="402"/>
      <c r="D35" s="403"/>
      <c r="E35" s="394"/>
      <c r="F35" s="395"/>
      <c r="G35" s="395"/>
      <c r="H35" s="395"/>
      <c r="I35" s="400"/>
      <c r="J35" s="353"/>
      <c r="K35" s="354"/>
      <c r="L35" s="354"/>
      <c r="M35" s="354"/>
      <c r="N35" s="354"/>
      <c r="O35" s="355"/>
      <c r="P35" s="363"/>
      <c r="Q35" s="363"/>
      <c r="R35" s="363"/>
      <c r="S35" s="363"/>
      <c r="T35" s="363"/>
      <c r="U35" s="364"/>
      <c r="V35" s="362"/>
      <c r="W35" s="363"/>
      <c r="X35" s="363"/>
      <c r="Y35" s="363"/>
      <c r="Z35" s="363"/>
      <c r="AA35" s="364"/>
      <c r="AB35" s="380"/>
      <c r="AC35" s="381"/>
      <c r="AD35" s="382"/>
      <c r="AE35" s="382"/>
      <c r="AF35" s="382"/>
      <c r="AG35" s="383"/>
      <c r="AH35" s="371"/>
      <c r="AI35" s="372"/>
      <c r="AJ35" s="372"/>
      <c r="AK35" s="372"/>
      <c r="AL35" s="372"/>
      <c r="AM35" s="373"/>
      <c r="AN35" s="82"/>
      <c r="AO35" s="434"/>
      <c r="AP35" s="435"/>
      <c r="AQ35" s="435"/>
      <c r="AR35" s="435"/>
      <c r="AS35" s="435"/>
      <c r="AT35" s="436"/>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402"/>
      <c r="C36" s="402"/>
      <c r="D36" s="403"/>
      <c r="E36" s="394"/>
      <c r="F36" s="395"/>
      <c r="G36" s="395"/>
      <c r="H36" s="395"/>
      <c r="I36" s="400"/>
      <c r="J36" s="353" t="str">
        <f ca="1">IF(AND('Mapa Institucional 2024'!$H$63="Baja",'Mapa Institucional 2024'!$L$63="Leve"),CONCATENATE("R",'Mapa Institucional 2024'!$A$63),"")</f>
        <v/>
      </c>
      <c r="K36" s="354"/>
      <c r="L36" s="354" t="e">
        <f>IF(AND('Mapa Institucional 2024'!#REF!="Baja",'Mapa Institucional 2024'!#REF!="Leve"),CONCATENATE("R",'Mapa Institucional 2024'!#REF!),"")</f>
        <v>#REF!</v>
      </c>
      <c r="M36" s="354"/>
      <c r="N36" s="354" t="e">
        <f>IF(AND('Mapa Institucional 2024'!#REF!="Baja",'Mapa Institucional 2024'!#REF!="Leve"),CONCATENATE("R",'Mapa Institucional 2024'!#REF!),"")</f>
        <v>#REF!</v>
      </c>
      <c r="O36" s="355"/>
      <c r="P36" s="363" t="str">
        <f ca="1">IF(AND('Mapa Institucional 2024'!$H$63="Baja",'Mapa Institucional 2024'!$L$63="Menor"),CONCATENATE("R",'Mapa Institucional 2024'!$A$63),"")</f>
        <v/>
      </c>
      <c r="Q36" s="363"/>
      <c r="R36" s="363" t="e">
        <f>IF(AND('Mapa Institucional 2024'!#REF!="Baja",'Mapa Institucional 2024'!#REF!="Menor"),CONCATENATE("R",'Mapa Institucional 2024'!#REF!),"")</f>
        <v>#REF!</v>
      </c>
      <c r="S36" s="363"/>
      <c r="T36" s="363" t="e">
        <f>IF(AND('Mapa Institucional 2024'!#REF!="Baja",'Mapa Institucional 2024'!#REF!="Menor"),CONCATENATE("R",'Mapa Institucional 2024'!#REF!),"")</f>
        <v>#REF!</v>
      </c>
      <c r="U36" s="364"/>
      <c r="V36" s="362" t="str">
        <f ca="1">IF(AND('Mapa Institucional 2024'!$H$63="Baja",'Mapa Institucional 2024'!$L$63="Moderado"),CONCATENATE("R",'Mapa Institucional 2024'!$A$63),"")</f>
        <v/>
      </c>
      <c r="W36" s="363"/>
      <c r="X36" s="363" t="e">
        <f>IF(AND('Mapa Institucional 2024'!#REF!="Baja",'Mapa Institucional 2024'!#REF!="Moderado"),CONCATENATE("R",'Mapa Institucional 2024'!#REF!),"")</f>
        <v>#REF!</v>
      </c>
      <c r="Y36" s="363"/>
      <c r="Z36" s="363" t="e">
        <f>IF(AND('Mapa Institucional 2024'!#REF!="Baja",'Mapa Institucional 2024'!#REF!="Moderado"),CONCATENATE("R",'Mapa Institucional 2024'!#REF!),"")</f>
        <v>#REF!</v>
      </c>
      <c r="AA36" s="364"/>
      <c r="AB36" s="380" t="str">
        <f ca="1">IF(AND('Mapa Institucional 2024'!$H$63="Baja",'Mapa Institucional 2024'!$L$63="Mayor"),CONCATENATE("R",'Mapa Institucional 2024'!$A$63),"")</f>
        <v/>
      </c>
      <c r="AC36" s="381"/>
      <c r="AD36" s="382" t="e">
        <f>IF(AND('Mapa Institucional 2024'!#REF!="Baja",'Mapa Institucional 2024'!#REF!="Mayor"),CONCATENATE("R",'Mapa Institucional 2024'!#REF!),"")</f>
        <v>#REF!</v>
      </c>
      <c r="AE36" s="382"/>
      <c r="AF36" s="382" t="e">
        <f>IF(AND('Mapa Institucional 2024'!#REF!="Baja",'Mapa Institucional 2024'!#REF!="Mayor"),CONCATENATE("R",'Mapa Institucional 2024'!#REF!),"")</f>
        <v>#REF!</v>
      </c>
      <c r="AG36" s="383"/>
      <c r="AH36" s="371" t="str">
        <f ca="1">IF(AND('Mapa Institucional 2024'!$H$63="Baja",'Mapa Institucional 2024'!$L$63="Catastrófico"),CONCATENATE("R",'Mapa Institucional 2024'!$A$63),"")</f>
        <v/>
      </c>
      <c r="AI36" s="372"/>
      <c r="AJ36" s="372" t="e">
        <f>IF(AND('Mapa Institucional 2024'!#REF!="Baja",'Mapa Institucional 2024'!#REF!="Catastrófico"),CONCATENATE("R",'Mapa Institucional 2024'!#REF!),"")</f>
        <v>#REF!</v>
      </c>
      <c r="AK36" s="372"/>
      <c r="AL36" s="372" t="e">
        <f>IF(AND('Mapa Institucional 2024'!#REF!="Baja",'Mapa Institucional 2024'!#REF!="Catastrófico"),CONCATENATE("R",'Mapa Institucional 2024'!#REF!),"")</f>
        <v>#REF!</v>
      </c>
      <c r="AM36" s="373"/>
      <c r="AN36" s="82"/>
      <c r="AO36" s="434"/>
      <c r="AP36" s="435"/>
      <c r="AQ36" s="435"/>
      <c r="AR36" s="435"/>
      <c r="AS36" s="435"/>
      <c r="AT36" s="43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402"/>
      <c r="C37" s="402"/>
      <c r="D37" s="403"/>
      <c r="E37" s="397"/>
      <c r="F37" s="398"/>
      <c r="G37" s="398"/>
      <c r="H37" s="398"/>
      <c r="I37" s="398"/>
      <c r="J37" s="356"/>
      <c r="K37" s="357"/>
      <c r="L37" s="357"/>
      <c r="M37" s="357"/>
      <c r="N37" s="357"/>
      <c r="O37" s="358"/>
      <c r="P37" s="366"/>
      <c r="Q37" s="366"/>
      <c r="R37" s="366"/>
      <c r="S37" s="366"/>
      <c r="T37" s="366"/>
      <c r="U37" s="367"/>
      <c r="V37" s="365"/>
      <c r="W37" s="366"/>
      <c r="X37" s="366"/>
      <c r="Y37" s="366"/>
      <c r="Z37" s="366"/>
      <c r="AA37" s="367"/>
      <c r="AB37" s="384"/>
      <c r="AC37" s="385"/>
      <c r="AD37" s="385"/>
      <c r="AE37" s="385"/>
      <c r="AF37" s="385"/>
      <c r="AG37" s="386"/>
      <c r="AH37" s="374"/>
      <c r="AI37" s="375"/>
      <c r="AJ37" s="375"/>
      <c r="AK37" s="375"/>
      <c r="AL37" s="375"/>
      <c r="AM37" s="376"/>
      <c r="AN37" s="82"/>
      <c r="AO37" s="437"/>
      <c r="AP37" s="438"/>
      <c r="AQ37" s="438"/>
      <c r="AR37" s="438"/>
      <c r="AS37" s="438"/>
      <c r="AT37" s="43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402"/>
      <c r="C38" s="402"/>
      <c r="D38" s="403"/>
      <c r="E38" s="391" t="s">
        <v>113</v>
      </c>
      <c r="F38" s="392"/>
      <c r="G38" s="392"/>
      <c r="H38" s="392"/>
      <c r="I38" s="393"/>
      <c r="J38" s="359" t="str">
        <f ca="1">IF(AND('Mapa Institucional 2024'!$H$9="Muy Baja",'Mapa Institucional 2024'!$L$9="Leve"),CONCATENATE("R",'Mapa Institucional 2024'!$A$9),"")</f>
        <v/>
      </c>
      <c r="K38" s="360"/>
      <c r="L38" s="360" t="str">
        <f ca="1">IF(AND('Mapa Institucional 2024'!$H$15="Muy Baja",'Mapa Institucional 2024'!$L$15="Leve"),CONCATENATE("R",'Mapa Institucional 2024'!$A$15),"")</f>
        <v/>
      </c>
      <c r="M38" s="360"/>
      <c r="N38" s="360" t="str">
        <f ca="1">IF(AND('Mapa Institucional 2024'!$H$21="Muy Baja",'Mapa Institucional 2024'!$L$21="Leve"),CONCATENATE("R",'Mapa Institucional 2024'!$A$21),"")</f>
        <v/>
      </c>
      <c r="O38" s="361"/>
      <c r="P38" s="359" t="str">
        <f ca="1">IF(AND('Mapa Institucional 2024'!$H$9="Muy Baja",'Mapa Institucional 2024'!$L$9="Menor"),CONCATENATE("R",'Mapa Institucional 2024'!$A$9),"")</f>
        <v/>
      </c>
      <c r="Q38" s="360"/>
      <c r="R38" s="360" t="str">
        <f ca="1">IF(AND('Mapa Institucional 2024'!$H$15="Muy Baja",'Mapa Institucional 2024'!$L$15="Menor"),CONCATENATE("R",'Mapa Institucional 2024'!$A$15),"")</f>
        <v/>
      </c>
      <c r="S38" s="360"/>
      <c r="T38" s="360" t="str">
        <f ca="1">IF(AND('Mapa Institucional 2024'!$H$21="Muy Baja",'Mapa Institucional 2024'!$L$21="Menor"),CONCATENATE("R",'Mapa Institucional 2024'!$A$21),"")</f>
        <v/>
      </c>
      <c r="U38" s="361"/>
      <c r="V38" s="368" t="str">
        <f ca="1">IF(AND('Mapa Institucional 2024'!$H$9="Muy Baja",'Mapa Institucional 2024'!$L$9="Moderado"),CONCATENATE("R",'Mapa Institucional 2024'!$A$9),"")</f>
        <v/>
      </c>
      <c r="W38" s="369"/>
      <c r="X38" s="369" t="str">
        <f ca="1">IF(AND('Mapa Institucional 2024'!$H$15="Muy Baja",'Mapa Institucional 2024'!$L$15="Moderado"),CONCATENATE("R",'Mapa Institucional 2024'!$A$15),"")</f>
        <v/>
      </c>
      <c r="Y38" s="369"/>
      <c r="Z38" s="369" t="str">
        <f ca="1">IF(AND('Mapa Institucional 2024'!$H$21="Muy Baja",'Mapa Institucional 2024'!$L$21="Moderado"),CONCATENATE("R",'Mapa Institucional 2024'!$A$21),"")</f>
        <v/>
      </c>
      <c r="AA38" s="370"/>
      <c r="AB38" s="387" t="str">
        <f ca="1">IF(AND('Mapa Institucional 2024'!$H$9="Muy Baja",'Mapa Institucional 2024'!$L$9="Mayor"),CONCATENATE("R",'Mapa Institucional 2024'!$A$9),"")</f>
        <v/>
      </c>
      <c r="AC38" s="388"/>
      <c r="AD38" s="388" t="str">
        <f ca="1">IF(AND('Mapa Institucional 2024'!$H$15="Muy Baja",'Mapa Institucional 2024'!$L$15="Mayor"),CONCATENATE("R",'Mapa Institucional 2024'!$A$15),"")</f>
        <v>R2</v>
      </c>
      <c r="AE38" s="388"/>
      <c r="AF38" s="388" t="str">
        <f ca="1">IF(AND('Mapa Institucional 2024'!$H$21="Muy Baja",'Mapa Institucional 2024'!$L$21="Mayor"),CONCATENATE("R",'Mapa Institucional 2024'!$A$21),"")</f>
        <v/>
      </c>
      <c r="AG38" s="389"/>
      <c r="AH38" s="377" t="str">
        <f ca="1">IF(AND('Mapa Institucional 2024'!$H$9="Muy Baja",'Mapa Institucional 2024'!$L$9="Catastrófico"),CONCATENATE("R",'Mapa Institucional 2024'!$A$9),"")</f>
        <v/>
      </c>
      <c r="AI38" s="378"/>
      <c r="AJ38" s="378" t="str">
        <f ca="1">IF(AND('Mapa Institucional 2024'!$H$15="Muy Baja",'Mapa Institucional 2024'!$L$15="Catastrófico"),CONCATENATE("R",'Mapa Institucional 2024'!$A$15),"")</f>
        <v/>
      </c>
      <c r="AK38" s="378"/>
      <c r="AL38" s="378" t="str">
        <f ca="1">IF(AND('Mapa Institucional 2024'!$H$21="Muy Baja",'Mapa Institucional 2024'!$L$21="Catastrófico"),CONCATENATE("R",'Mapa Institucional 2024'!$A$21),"")</f>
        <v/>
      </c>
      <c r="AM38" s="379"/>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402"/>
      <c r="C39" s="402"/>
      <c r="D39" s="403"/>
      <c r="E39" s="394"/>
      <c r="F39" s="395"/>
      <c r="G39" s="395"/>
      <c r="H39" s="395"/>
      <c r="I39" s="396"/>
      <c r="J39" s="353"/>
      <c r="K39" s="354"/>
      <c r="L39" s="354"/>
      <c r="M39" s="354"/>
      <c r="N39" s="354"/>
      <c r="O39" s="355"/>
      <c r="P39" s="353"/>
      <c r="Q39" s="354"/>
      <c r="R39" s="354"/>
      <c r="S39" s="354"/>
      <c r="T39" s="354"/>
      <c r="U39" s="355"/>
      <c r="V39" s="362"/>
      <c r="W39" s="363"/>
      <c r="X39" s="363"/>
      <c r="Y39" s="363"/>
      <c r="Z39" s="363"/>
      <c r="AA39" s="364"/>
      <c r="AB39" s="380"/>
      <c r="AC39" s="381"/>
      <c r="AD39" s="381"/>
      <c r="AE39" s="381"/>
      <c r="AF39" s="381"/>
      <c r="AG39" s="383"/>
      <c r="AH39" s="371"/>
      <c r="AI39" s="372"/>
      <c r="AJ39" s="372"/>
      <c r="AK39" s="372"/>
      <c r="AL39" s="372"/>
      <c r="AM39" s="373"/>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402"/>
      <c r="C40" s="402"/>
      <c r="D40" s="403"/>
      <c r="E40" s="394"/>
      <c r="F40" s="395"/>
      <c r="G40" s="395"/>
      <c r="H40" s="395"/>
      <c r="I40" s="396"/>
      <c r="J40" s="353" t="str">
        <f ca="1">IF(AND('Mapa Institucional 2024'!$H$27="Muy Baja",'Mapa Institucional 2024'!$L$27="Leve"),CONCATENATE("R",'Mapa Institucional 2024'!$A$27),"")</f>
        <v/>
      </c>
      <c r="K40" s="354"/>
      <c r="L40" s="354" t="str">
        <f ca="1">IF(AND('Mapa Institucional 2024'!$H$33="Muy Baja",'Mapa Institucional 2024'!$L$33="Leve"),CONCATENATE("R",'Mapa Institucional 2024'!$A$33),"")</f>
        <v/>
      </c>
      <c r="M40" s="354"/>
      <c r="N40" s="354" t="str">
        <f ca="1">IF(AND('Mapa Institucional 2024'!$H$39="Muy Baja",'Mapa Institucional 2024'!$L$39="Leve"),CONCATENATE("R",'Mapa Institucional 2024'!$A$39),"")</f>
        <v/>
      </c>
      <c r="O40" s="355"/>
      <c r="P40" s="353" t="str">
        <f ca="1">IF(AND('Mapa Institucional 2024'!$H$27="Muy Baja",'Mapa Institucional 2024'!$L$27="Menor"),CONCATENATE("R",'Mapa Institucional 2024'!$A$27),"")</f>
        <v/>
      </c>
      <c r="Q40" s="354"/>
      <c r="R40" s="354" t="str">
        <f ca="1">IF(AND('Mapa Institucional 2024'!$H$33="Muy Baja",'Mapa Institucional 2024'!$L$33="Menor"),CONCATENATE("R",'Mapa Institucional 2024'!$A$33),"")</f>
        <v/>
      </c>
      <c r="S40" s="354"/>
      <c r="T40" s="354" t="str">
        <f ca="1">IF(AND('Mapa Institucional 2024'!$H$39="Muy Baja",'Mapa Institucional 2024'!$L$39="Menor"),CONCATENATE("R",'Mapa Institucional 2024'!$A$39),"")</f>
        <v/>
      </c>
      <c r="U40" s="355"/>
      <c r="V40" s="362" t="str">
        <f ca="1">IF(AND('Mapa Institucional 2024'!$H$27="Muy Baja",'Mapa Institucional 2024'!$L$27="Moderado"),CONCATENATE("R",'Mapa Institucional 2024'!$A$27),"")</f>
        <v/>
      </c>
      <c r="W40" s="363"/>
      <c r="X40" s="363" t="str">
        <f ca="1">IF(AND('Mapa Institucional 2024'!$H$33="Muy Baja",'Mapa Institucional 2024'!$L$33="Moderado"),CONCATENATE("R",'Mapa Institucional 2024'!$A$33),"")</f>
        <v/>
      </c>
      <c r="Y40" s="363"/>
      <c r="Z40" s="363" t="str">
        <f ca="1">IF(AND('Mapa Institucional 2024'!$H$39="Muy Baja",'Mapa Institucional 2024'!$L$39="Moderado"),CONCATENATE("R",'Mapa Institucional 2024'!$A$39),"")</f>
        <v/>
      </c>
      <c r="AA40" s="364"/>
      <c r="AB40" s="380" t="str">
        <f ca="1">IF(AND('Mapa Institucional 2024'!$H$27="Muy Baja",'Mapa Institucional 2024'!$L$27="Mayor"),CONCATENATE("R",'Mapa Institucional 2024'!$A$27),"")</f>
        <v/>
      </c>
      <c r="AC40" s="381"/>
      <c r="AD40" s="382" t="str">
        <f ca="1">IF(AND('Mapa Institucional 2024'!$H$33="Muy Baja",'Mapa Institucional 2024'!$L$33="Mayor"),CONCATENATE("R",'Mapa Institucional 2024'!$A$33),"")</f>
        <v/>
      </c>
      <c r="AE40" s="382"/>
      <c r="AF40" s="382" t="str">
        <f ca="1">IF(AND('Mapa Institucional 2024'!$H$39="Muy Baja",'Mapa Institucional 2024'!$L$39="Mayor"),CONCATENATE("R",'Mapa Institucional 2024'!$A$39),"")</f>
        <v/>
      </c>
      <c r="AG40" s="383"/>
      <c r="AH40" s="371" t="str">
        <f ca="1">IF(AND('Mapa Institucional 2024'!$H$27="Muy Baja",'Mapa Institucional 2024'!$L$27="Catastrófico"),CONCATENATE("R",'Mapa Institucional 2024'!$A$27),"")</f>
        <v/>
      </c>
      <c r="AI40" s="372"/>
      <c r="AJ40" s="372" t="str">
        <f ca="1">IF(AND('Mapa Institucional 2024'!$H$33="Muy Baja",'Mapa Institucional 2024'!$L$33="Catastrófico"),CONCATENATE("R",'Mapa Institucional 2024'!$A$33),"")</f>
        <v/>
      </c>
      <c r="AK40" s="372"/>
      <c r="AL40" s="372" t="str">
        <f ca="1">IF(AND('Mapa Institucional 2024'!$H$39="Muy Baja",'Mapa Institucional 2024'!$L$39="Catastrófico"),CONCATENATE("R",'Mapa Institucional 2024'!$A$39),"")</f>
        <v/>
      </c>
      <c r="AM40" s="373"/>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402"/>
      <c r="C41" s="402"/>
      <c r="D41" s="403"/>
      <c r="E41" s="394"/>
      <c r="F41" s="395"/>
      <c r="G41" s="395"/>
      <c r="H41" s="395"/>
      <c r="I41" s="396"/>
      <c r="J41" s="353"/>
      <c r="K41" s="354"/>
      <c r="L41" s="354"/>
      <c r="M41" s="354"/>
      <c r="N41" s="354"/>
      <c r="O41" s="355"/>
      <c r="P41" s="353"/>
      <c r="Q41" s="354"/>
      <c r="R41" s="354"/>
      <c r="S41" s="354"/>
      <c r="T41" s="354"/>
      <c r="U41" s="355"/>
      <c r="V41" s="362"/>
      <c r="W41" s="363"/>
      <c r="X41" s="363"/>
      <c r="Y41" s="363"/>
      <c r="Z41" s="363"/>
      <c r="AA41" s="364"/>
      <c r="AB41" s="380"/>
      <c r="AC41" s="381"/>
      <c r="AD41" s="382"/>
      <c r="AE41" s="382"/>
      <c r="AF41" s="382"/>
      <c r="AG41" s="383"/>
      <c r="AH41" s="371"/>
      <c r="AI41" s="372"/>
      <c r="AJ41" s="372"/>
      <c r="AK41" s="372"/>
      <c r="AL41" s="372"/>
      <c r="AM41" s="373"/>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402"/>
      <c r="C42" s="402"/>
      <c r="D42" s="403"/>
      <c r="E42" s="394"/>
      <c r="F42" s="395"/>
      <c r="G42" s="395"/>
      <c r="H42" s="395"/>
      <c r="I42" s="396"/>
      <c r="J42" s="353" t="str">
        <f ca="1">IF(AND('Mapa Institucional 2024'!$H$45="Muy Baja",'Mapa Institucional 2024'!$L$45="Leve"),CONCATENATE("R",'Mapa Institucional 2024'!$A$45),"")</f>
        <v/>
      </c>
      <c r="K42" s="354"/>
      <c r="L42" s="354" t="str">
        <f ca="1">IF(AND('Mapa Institucional 2024'!$H$51="Muy Baja",'Mapa Institucional 2024'!$L$51="Leve"),CONCATENATE("R",'Mapa Institucional 2024'!$A$51),"")</f>
        <v/>
      </c>
      <c r="M42" s="354"/>
      <c r="N42" s="354" t="str">
        <f ca="1">IF(AND('Mapa Institucional 2024'!$H$57="Muy Baja",'Mapa Institucional 2024'!$L$57="Leve"),CONCATENATE("R",'Mapa Institucional 2024'!$A$57),"")</f>
        <v/>
      </c>
      <c r="O42" s="355"/>
      <c r="P42" s="353" t="str">
        <f ca="1">IF(AND('Mapa Institucional 2024'!$H$45="Muy Baja",'Mapa Institucional 2024'!$L$45="Menor"),CONCATENATE("R",'Mapa Institucional 2024'!$A$45),"")</f>
        <v/>
      </c>
      <c r="Q42" s="354"/>
      <c r="R42" s="354" t="str">
        <f ca="1">IF(AND('Mapa Institucional 2024'!$H$51="Muy Baja",'Mapa Institucional 2024'!$L$51="Menor"),CONCATENATE("R",'Mapa Institucional 2024'!$A$51),"")</f>
        <v/>
      </c>
      <c r="S42" s="354"/>
      <c r="T42" s="354" t="str">
        <f ca="1">IF(AND('Mapa Institucional 2024'!$H$57="Muy Baja",'Mapa Institucional 2024'!$L$57="Menor"),CONCATENATE("R",'Mapa Institucional 2024'!$A$57),"")</f>
        <v/>
      </c>
      <c r="U42" s="355"/>
      <c r="V42" s="362" t="str">
        <f ca="1">IF(AND('Mapa Institucional 2024'!$H$45="Muy Baja",'Mapa Institucional 2024'!$L$45="Moderado"),CONCATENATE("R",'Mapa Institucional 2024'!$A$45),"")</f>
        <v/>
      </c>
      <c r="W42" s="363"/>
      <c r="X42" s="363" t="str">
        <f ca="1">IF(AND('Mapa Institucional 2024'!$H$51="Muy Baja",'Mapa Institucional 2024'!$L$51="Moderado"),CONCATENATE("R",'Mapa Institucional 2024'!$A$51),"")</f>
        <v/>
      </c>
      <c r="Y42" s="363"/>
      <c r="Z42" s="363" t="str">
        <f ca="1">IF(AND('Mapa Institucional 2024'!$H$57="Muy Baja",'Mapa Institucional 2024'!$L$57="Moderado"),CONCATENATE("R",'Mapa Institucional 2024'!$A$57),"")</f>
        <v/>
      </c>
      <c r="AA42" s="364"/>
      <c r="AB42" s="380" t="str">
        <f ca="1">IF(AND('Mapa Institucional 2024'!$H$45="Muy Baja",'Mapa Institucional 2024'!$L$45="Mayor"),CONCATENATE("R",'Mapa Institucional 2024'!$A$45),"")</f>
        <v/>
      </c>
      <c r="AC42" s="381"/>
      <c r="AD42" s="382" t="str">
        <f ca="1">IF(AND('Mapa Institucional 2024'!$H$51="Muy Baja",'Mapa Institucional 2024'!$L$51="Mayor"),CONCATENATE("R",'Mapa Institucional 2024'!$A$51),"")</f>
        <v/>
      </c>
      <c r="AE42" s="382"/>
      <c r="AF42" s="382" t="str">
        <f ca="1">IF(AND('Mapa Institucional 2024'!$H$57="Muy Baja",'Mapa Institucional 2024'!$L$57="Mayor"),CONCATENATE("R",'Mapa Institucional 2024'!$A$57),"")</f>
        <v/>
      </c>
      <c r="AG42" s="383"/>
      <c r="AH42" s="371" t="str">
        <f ca="1">IF(AND('Mapa Institucional 2024'!$H$45="Muy Baja",'Mapa Institucional 2024'!$L$45="Catastrófico"),CONCATENATE("R",'Mapa Institucional 2024'!$A$45),"")</f>
        <v/>
      </c>
      <c r="AI42" s="372"/>
      <c r="AJ42" s="372" t="str">
        <f ca="1">IF(AND('Mapa Institucional 2024'!$H$51="Muy Baja",'Mapa Institucional 2024'!$L$51="Catastrófico"),CONCATENATE("R",'Mapa Institucional 2024'!$A$51),"")</f>
        <v/>
      </c>
      <c r="AK42" s="372"/>
      <c r="AL42" s="372" t="str">
        <f ca="1">IF(AND('Mapa Institucional 2024'!$H$57="Muy Baja",'Mapa Institucional 2024'!$L$57="Catastrófico"),CONCATENATE("R",'Mapa Institucional 2024'!$A$57),"")</f>
        <v/>
      </c>
      <c r="AM42" s="373"/>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402"/>
      <c r="C43" s="402"/>
      <c r="D43" s="403"/>
      <c r="E43" s="394"/>
      <c r="F43" s="395"/>
      <c r="G43" s="395"/>
      <c r="H43" s="395"/>
      <c r="I43" s="396"/>
      <c r="J43" s="353"/>
      <c r="K43" s="354"/>
      <c r="L43" s="354"/>
      <c r="M43" s="354"/>
      <c r="N43" s="354"/>
      <c r="O43" s="355"/>
      <c r="P43" s="353"/>
      <c r="Q43" s="354"/>
      <c r="R43" s="354"/>
      <c r="S43" s="354"/>
      <c r="T43" s="354"/>
      <c r="U43" s="355"/>
      <c r="V43" s="362"/>
      <c r="W43" s="363"/>
      <c r="X43" s="363"/>
      <c r="Y43" s="363"/>
      <c r="Z43" s="363"/>
      <c r="AA43" s="364"/>
      <c r="AB43" s="380"/>
      <c r="AC43" s="381"/>
      <c r="AD43" s="382"/>
      <c r="AE43" s="382"/>
      <c r="AF43" s="382"/>
      <c r="AG43" s="383"/>
      <c r="AH43" s="371"/>
      <c r="AI43" s="372"/>
      <c r="AJ43" s="372"/>
      <c r="AK43" s="372"/>
      <c r="AL43" s="372"/>
      <c r="AM43" s="373"/>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402"/>
      <c r="C44" s="402"/>
      <c r="D44" s="403"/>
      <c r="E44" s="394"/>
      <c r="F44" s="395"/>
      <c r="G44" s="395"/>
      <c r="H44" s="395"/>
      <c r="I44" s="396"/>
      <c r="J44" s="353" t="str">
        <f ca="1">IF(AND('Mapa Institucional 2024'!$H$63="Muy Baja",'Mapa Institucional 2024'!$L$63="Leve"),CONCATENATE("R",'Mapa Institucional 2024'!$A$63),"")</f>
        <v/>
      </c>
      <c r="K44" s="354"/>
      <c r="L44" s="354" t="e">
        <f>IF(AND('Mapa Institucional 2024'!#REF!="Muy Baja",'Mapa Institucional 2024'!#REF!="Leve"),CONCATENATE("R",'Mapa Institucional 2024'!#REF!),"")</f>
        <v>#REF!</v>
      </c>
      <c r="M44" s="354"/>
      <c r="N44" s="354" t="e">
        <f>IF(AND('Mapa Institucional 2024'!#REF!="Muy Baja",'Mapa Institucional 2024'!#REF!="Leve"),CONCATENATE("R",'Mapa Institucional 2024'!#REF!),"")</f>
        <v>#REF!</v>
      </c>
      <c r="O44" s="355"/>
      <c r="P44" s="353" t="str">
        <f ca="1">IF(AND('Mapa Institucional 2024'!$H$63="Muy Baja",'Mapa Institucional 2024'!$L$63="Menor"),CONCATENATE("R",'Mapa Institucional 2024'!$A$63),"")</f>
        <v/>
      </c>
      <c r="Q44" s="354"/>
      <c r="R44" s="354" t="e">
        <f>IF(AND('Mapa Institucional 2024'!#REF!="Muy Baja",'Mapa Institucional 2024'!#REF!="Menor"),CONCATENATE("R",'Mapa Institucional 2024'!#REF!),"")</f>
        <v>#REF!</v>
      </c>
      <c r="S44" s="354"/>
      <c r="T44" s="354" t="e">
        <f>IF(AND('Mapa Institucional 2024'!#REF!="Muy Baja",'Mapa Institucional 2024'!#REF!="Menor"),CONCATENATE("R",'Mapa Institucional 2024'!#REF!),"")</f>
        <v>#REF!</v>
      </c>
      <c r="U44" s="355"/>
      <c r="V44" s="362" t="str">
        <f ca="1">IF(AND('Mapa Institucional 2024'!$H$63="Muy Baja",'Mapa Institucional 2024'!$L$63="Moderado"),CONCATENATE("R",'Mapa Institucional 2024'!$A$63),"")</f>
        <v/>
      </c>
      <c r="W44" s="363"/>
      <c r="X44" s="363" t="e">
        <f>IF(AND('Mapa Institucional 2024'!#REF!="Muy Baja",'Mapa Institucional 2024'!#REF!="Moderado"),CONCATENATE("R",'Mapa Institucional 2024'!#REF!),"")</f>
        <v>#REF!</v>
      </c>
      <c r="Y44" s="363"/>
      <c r="Z44" s="363" t="e">
        <f>IF(AND('Mapa Institucional 2024'!#REF!="Muy Baja",'Mapa Institucional 2024'!#REF!="Moderado"),CONCATENATE("R",'Mapa Institucional 2024'!#REF!),"")</f>
        <v>#REF!</v>
      </c>
      <c r="AA44" s="364"/>
      <c r="AB44" s="380" t="str">
        <f ca="1">IF(AND('Mapa Institucional 2024'!$H$63="Muy Baja",'Mapa Institucional 2024'!$L$63="Mayor"),CONCATENATE("R",'Mapa Institucional 2024'!$A$63),"")</f>
        <v/>
      </c>
      <c r="AC44" s="381"/>
      <c r="AD44" s="382" t="e">
        <f>IF(AND('Mapa Institucional 2024'!#REF!="Muy Baja",'Mapa Institucional 2024'!#REF!="Mayor"),CONCATENATE("R",'Mapa Institucional 2024'!#REF!),"")</f>
        <v>#REF!</v>
      </c>
      <c r="AE44" s="382"/>
      <c r="AF44" s="382" t="e">
        <f>IF(AND('Mapa Institucional 2024'!#REF!="Muy Baja",'Mapa Institucional 2024'!#REF!="Mayor"),CONCATENATE("R",'Mapa Institucional 2024'!#REF!),"")</f>
        <v>#REF!</v>
      </c>
      <c r="AG44" s="383"/>
      <c r="AH44" s="371" t="str">
        <f ca="1">IF(AND('Mapa Institucional 2024'!$H$63="Muy Baja",'Mapa Institucional 2024'!$L$63="Catastrófico"),CONCATENATE("R",'Mapa Institucional 2024'!$A$63),"")</f>
        <v/>
      </c>
      <c r="AI44" s="372"/>
      <c r="AJ44" s="372" t="e">
        <f>IF(AND('Mapa Institucional 2024'!#REF!="Muy Baja",'Mapa Institucional 2024'!#REF!="Catastrófico"),CONCATENATE("R",'Mapa Institucional 2024'!#REF!),"")</f>
        <v>#REF!</v>
      </c>
      <c r="AK44" s="372"/>
      <c r="AL44" s="372" t="e">
        <f>IF(AND('Mapa Institucional 2024'!#REF!="Muy Baja",'Mapa Institucional 2024'!#REF!="Catastrófico"),CONCATENATE("R",'Mapa Institucional 2024'!#REF!),"")</f>
        <v>#REF!</v>
      </c>
      <c r="AM44" s="373"/>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402"/>
      <c r="C45" s="402"/>
      <c r="D45" s="403"/>
      <c r="E45" s="397"/>
      <c r="F45" s="398"/>
      <c r="G45" s="398"/>
      <c r="H45" s="398"/>
      <c r="I45" s="399"/>
      <c r="J45" s="356"/>
      <c r="K45" s="357"/>
      <c r="L45" s="357"/>
      <c r="M45" s="357"/>
      <c r="N45" s="357"/>
      <c r="O45" s="358"/>
      <c r="P45" s="356"/>
      <c r="Q45" s="357"/>
      <c r="R45" s="357"/>
      <c r="S45" s="357"/>
      <c r="T45" s="357"/>
      <c r="U45" s="358"/>
      <c r="V45" s="365"/>
      <c r="W45" s="366"/>
      <c r="X45" s="366"/>
      <c r="Y45" s="366"/>
      <c r="Z45" s="366"/>
      <c r="AA45" s="367"/>
      <c r="AB45" s="384"/>
      <c r="AC45" s="385"/>
      <c r="AD45" s="385"/>
      <c r="AE45" s="385"/>
      <c r="AF45" s="385"/>
      <c r="AG45" s="386"/>
      <c r="AH45" s="374"/>
      <c r="AI45" s="375"/>
      <c r="AJ45" s="375"/>
      <c r="AK45" s="375"/>
      <c r="AL45" s="375"/>
      <c r="AM45" s="376"/>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91" t="s">
        <v>112</v>
      </c>
      <c r="K46" s="392"/>
      <c r="L46" s="392"/>
      <c r="M46" s="392"/>
      <c r="N46" s="392"/>
      <c r="O46" s="393"/>
      <c r="P46" s="391" t="s">
        <v>111</v>
      </c>
      <c r="Q46" s="392"/>
      <c r="R46" s="392"/>
      <c r="S46" s="392"/>
      <c r="T46" s="392"/>
      <c r="U46" s="393"/>
      <c r="V46" s="391" t="s">
        <v>110</v>
      </c>
      <c r="W46" s="392"/>
      <c r="X46" s="392"/>
      <c r="Y46" s="392"/>
      <c r="Z46" s="392"/>
      <c r="AA46" s="393"/>
      <c r="AB46" s="391" t="s">
        <v>109</v>
      </c>
      <c r="AC46" s="401"/>
      <c r="AD46" s="392"/>
      <c r="AE46" s="392"/>
      <c r="AF46" s="392"/>
      <c r="AG46" s="393"/>
      <c r="AH46" s="391" t="s">
        <v>108</v>
      </c>
      <c r="AI46" s="392"/>
      <c r="AJ46" s="392"/>
      <c r="AK46" s="392"/>
      <c r="AL46" s="392"/>
      <c r="AM46" s="393"/>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94"/>
      <c r="K47" s="395"/>
      <c r="L47" s="395"/>
      <c r="M47" s="395"/>
      <c r="N47" s="395"/>
      <c r="O47" s="396"/>
      <c r="P47" s="394"/>
      <c r="Q47" s="395"/>
      <c r="R47" s="395"/>
      <c r="S47" s="395"/>
      <c r="T47" s="395"/>
      <c r="U47" s="396"/>
      <c r="V47" s="394"/>
      <c r="W47" s="395"/>
      <c r="X47" s="395"/>
      <c r="Y47" s="395"/>
      <c r="Z47" s="395"/>
      <c r="AA47" s="396"/>
      <c r="AB47" s="394"/>
      <c r="AC47" s="395"/>
      <c r="AD47" s="395"/>
      <c r="AE47" s="395"/>
      <c r="AF47" s="395"/>
      <c r="AG47" s="396"/>
      <c r="AH47" s="394"/>
      <c r="AI47" s="395"/>
      <c r="AJ47" s="395"/>
      <c r="AK47" s="395"/>
      <c r="AL47" s="395"/>
      <c r="AM47" s="396"/>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94"/>
      <c r="K48" s="395"/>
      <c r="L48" s="395"/>
      <c r="M48" s="395"/>
      <c r="N48" s="395"/>
      <c r="O48" s="396"/>
      <c r="P48" s="394"/>
      <c r="Q48" s="395"/>
      <c r="R48" s="395"/>
      <c r="S48" s="395"/>
      <c r="T48" s="395"/>
      <c r="U48" s="396"/>
      <c r="V48" s="394"/>
      <c r="W48" s="395"/>
      <c r="X48" s="395"/>
      <c r="Y48" s="395"/>
      <c r="Z48" s="395"/>
      <c r="AA48" s="396"/>
      <c r="AB48" s="394"/>
      <c r="AC48" s="395"/>
      <c r="AD48" s="395"/>
      <c r="AE48" s="395"/>
      <c r="AF48" s="395"/>
      <c r="AG48" s="396"/>
      <c r="AH48" s="394"/>
      <c r="AI48" s="395"/>
      <c r="AJ48" s="395"/>
      <c r="AK48" s="395"/>
      <c r="AL48" s="395"/>
      <c r="AM48" s="396"/>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94"/>
      <c r="K49" s="395"/>
      <c r="L49" s="395"/>
      <c r="M49" s="395"/>
      <c r="N49" s="395"/>
      <c r="O49" s="396"/>
      <c r="P49" s="394"/>
      <c r="Q49" s="395"/>
      <c r="R49" s="395"/>
      <c r="S49" s="395"/>
      <c r="T49" s="395"/>
      <c r="U49" s="396"/>
      <c r="V49" s="394"/>
      <c r="W49" s="395"/>
      <c r="X49" s="395"/>
      <c r="Y49" s="395"/>
      <c r="Z49" s="395"/>
      <c r="AA49" s="396"/>
      <c r="AB49" s="394"/>
      <c r="AC49" s="395"/>
      <c r="AD49" s="395"/>
      <c r="AE49" s="395"/>
      <c r="AF49" s="395"/>
      <c r="AG49" s="396"/>
      <c r="AH49" s="394"/>
      <c r="AI49" s="395"/>
      <c r="AJ49" s="395"/>
      <c r="AK49" s="395"/>
      <c r="AL49" s="395"/>
      <c r="AM49" s="396"/>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94"/>
      <c r="K50" s="395"/>
      <c r="L50" s="395"/>
      <c r="M50" s="395"/>
      <c r="N50" s="395"/>
      <c r="O50" s="396"/>
      <c r="P50" s="394"/>
      <c r="Q50" s="395"/>
      <c r="R50" s="395"/>
      <c r="S50" s="395"/>
      <c r="T50" s="395"/>
      <c r="U50" s="396"/>
      <c r="V50" s="394"/>
      <c r="W50" s="395"/>
      <c r="X50" s="395"/>
      <c r="Y50" s="395"/>
      <c r="Z50" s="395"/>
      <c r="AA50" s="396"/>
      <c r="AB50" s="394"/>
      <c r="AC50" s="395"/>
      <c r="AD50" s="395"/>
      <c r="AE50" s="395"/>
      <c r="AF50" s="395"/>
      <c r="AG50" s="396"/>
      <c r="AH50" s="394"/>
      <c r="AI50" s="395"/>
      <c r="AJ50" s="395"/>
      <c r="AK50" s="395"/>
      <c r="AL50" s="395"/>
      <c r="AM50" s="396"/>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97"/>
      <c r="K51" s="398"/>
      <c r="L51" s="398"/>
      <c r="M51" s="398"/>
      <c r="N51" s="398"/>
      <c r="O51" s="399"/>
      <c r="P51" s="397"/>
      <c r="Q51" s="398"/>
      <c r="R51" s="398"/>
      <c r="S51" s="398"/>
      <c r="T51" s="398"/>
      <c r="U51" s="399"/>
      <c r="V51" s="397"/>
      <c r="W51" s="398"/>
      <c r="X51" s="398"/>
      <c r="Y51" s="398"/>
      <c r="Z51" s="398"/>
      <c r="AA51" s="399"/>
      <c r="AB51" s="397"/>
      <c r="AC51" s="398"/>
      <c r="AD51" s="398"/>
      <c r="AE51" s="398"/>
      <c r="AF51" s="398"/>
      <c r="AG51" s="399"/>
      <c r="AH51" s="397"/>
      <c r="AI51" s="398"/>
      <c r="AJ51" s="398"/>
      <c r="AK51" s="398"/>
      <c r="AL51" s="398"/>
      <c r="AM51" s="399"/>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AB47" sqref="AB47"/>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70" t="s">
        <v>157</v>
      </c>
      <c r="C2" s="471"/>
      <c r="D2" s="471"/>
      <c r="E2" s="471"/>
      <c r="F2" s="471"/>
      <c r="G2" s="471"/>
      <c r="H2" s="471"/>
      <c r="I2" s="471"/>
      <c r="J2" s="390" t="s">
        <v>2</v>
      </c>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71"/>
      <c r="C3" s="471"/>
      <c r="D3" s="471"/>
      <c r="E3" s="471"/>
      <c r="F3" s="471"/>
      <c r="G3" s="471"/>
      <c r="H3" s="471"/>
      <c r="I3" s="471"/>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71"/>
      <c r="C4" s="471"/>
      <c r="D4" s="471"/>
      <c r="E4" s="471"/>
      <c r="F4" s="471"/>
      <c r="G4" s="471"/>
      <c r="H4" s="471"/>
      <c r="I4" s="471"/>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402" t="s">
        <v>4</v>
      </c>
      <c r="C6" s="402"/>
      <c r="D6" s="403"/>
      <c r="E6" s="440" t="s">
        <v>116</v>
      </c>
      <c r="F6" s="441"/>
      <c r="G6" s="441"/>
      <c r="H6" s="441"/>
      <c r="I6" s="442"/>
      <c r="J6" s="44" t="str">
        <f ca="1">IF(AND('Mapa Institucional 2024'!$Y$9="Muy Alta",'Mapa Institucional 2024'!$AA$9="Leve"),CONCATENATE("R1C",'Mapa Institucional 2024'!$O$9),"")</f>
        <v/>
      </c>
      <c r="K6" s="45" t="str">
        <f>IF(AND('Mapa Institucional 2024'!$Y$10="Muy Alta",'Mapa Institucional 2024'!$AA$10="Leve"),CONCATENATE("R1C",'Mapa Institucional 2024'!$O$10),"")</f>
        <v/>
      </c>
      <c r="L6" s="45" t="str">
        <f>IF(AND('Mapa Institucional 2024'!$Y$11="Muy Alta",'Mapa Institucional 2024'!$AA$11="Leve"),CONCATENATE("R1C",'Mapa Institucional 2024'!$O$11),"")</f>
        <v/>
      </c>
      <c r="M6" s="45" t="str">
        <f>IF(AND('Mapa Institucional 2024'!$Y$12="Muy Alta",'Mapa Institucional 2024'!$AA$12="Leve"),CONCATENATE("R1C",'Mapa Institucional 2024'!$O$12),"")</f>
        <v/>
      </c>
      <c r="N6" s="45" t="str">
        <f>IF(AND('Mapa Institucional 2024'!$Y$13="Muy Alta",'Mapa Institucional 2024'!$AA$13="Leve"),CONCATENATE("R1C",'Mapa Institucional 2024'!$O$13),"")</f>
        <v/>
      </c>
      <c r="O6" s="46" t="str">
        <f>IF(AND('Mapa Institucional 2024'!$Y$14="Muy Alta",'Mapa Institucional 2024'!$AA$14="Leve"),CONCATENATE("R1C",'Mapa Institucional 2024'!$O$14),"")</f>
        <v/>
      </c>
      <c r="P6" s="44" t="str">
        <f ca="1">IF(AND('Mapa Institucional 2024'!$Y$9="Muy Alta",'Mapa Institucional 2024'!$AA$9="Menor"),CONCATENATE("R1C",'Mapa Institucional 2024'!$O$9),"")</f>
        <v/>
      </c>
      <c r="Q6" s="45" t="str">
        <f>IF(AND('Mapa Institucional 2024'!$Y$10="Muy Alta",'Mapa Institucional 2024'!$AA$10="Menor"),CONCATENATE("R1C",'Mapa Institucional 2024'!$O$10),"")</f>
        <v/>
      </c>
      <c r="R6" s="45" t="str">
        <f>IF(AND('Mapa Institucional 2024'!$Y$11="Muy Alta",'Mapa Institucional 2024'!$AA$11="Menor"),CONCATENATE("R1C",'Mapa Institucional 2024'!$O$11),"")</f>
        <v/>
      </c>
      <c r="S6" s="45" t="str">
        <f>IF(AND('Mapa Institucional 2024'!$Y$12="Muy Alta",'Mapa Institucional 2024'!$AA$12="Menor"),CONCATENATE("R1C",'Mapa Institucional 2024'!$O$12),"")</f>
        <v/>
      </c>
      <c r="T6" s="45" t="str">
        <f>IF(AND('Mapa Institucional 2024'!$Y$13="Muy Alta",'Mapa Institucional 2024'!$AA$13="Menor"),CONCATENATE("R1C",'Mapa Institucional 2024'!$O$13),"")</f>
        <v/>
      </c>
      <c r="U6" s="46" t="str">
        <f>IF(AND('Mapa Institucional 2024'!$Y$14="Muy Alta",'Mapa Institucional 2024'!$AA$14="Menor"),CONCATENATE("R1C",'Mapa Institucional 2024'!$O$14),"")</f>
        <v/>
      </c>
      <c r="V6" s="44" t="str">
        <f ca="1">IF(AND('Mapa Institucional 2024'!$Y$9="Muy Alta",'Mapa Institucional 2024'!$AA$9="Moderado"),CONCATENATE("R1C",'Mapa Institucional 2024'!$O$9),"")</f>
        <v/>
      </c>
      <c r="W6" s="45" t="str">
        <f>IF(AND('Mapa Institucional 2024'!$Y$10="Muy Alta",'Mapa Institucional 2024'!$AA$10="Moderado"),CONCATENATE("R1C",'Mapa Institucional 2024'!$O$10),"")</f>
        <v/>
      </c>
      <c r="X6" s="45" t="str">
        <f>IF(AND('Mapa Institucional 2024'!$Y$11="Muy Alta",'Mapa Institucional 2024'!$AA$11="Moderado"),CONCATENATE("R1C",'Mapa Institucional 2024'!$O$11),"")</f>
        <v/>
      </c>
      <c r="Y6" s="45" t="str">
        <f>IF(AND('Mapa Institucional 2024'!$Y$12="Muy Alta",'Mapa Institucional 2024'!$AA$12="Moderado"),CONCATENATE("R1C",'Mapa Institucional 2024'!$O$12),"")</f>
        <v/>
      </c>
      <c r="Z6" s="45" t="str">
        <f>IF(AND('Mapa Institucional 2024'!$Y$13="Muy Alta",'Mapa Institucional 2024'!$AA$13="Moderado"),CONCATENATE("R1C",'Mapa Institucional 2024'!$O$13),"")</f>
        <v/>
      </c>
      <c r="AA6" s="46" t="str">
        <f>IF(AND('Mapa Institucional 2024'!$Y$14="Muy Alta",'Mapa Institucional 2024'!$AA$14="Moderado"),CONCATENATE("R1C",'Mapa Institucional 2024'!$O$14),"")</f>
        <v/>
      </c>
      <c r="AB6" s="44" t="str">
        <f ca="1">IF(AND('Mapa Institucional 2024'!$Y$9="Muy Alta",'Mapa Institucional 2024'!$AA$9="Mayor"),CONCATENATE("R1C",'Mapa Institucional 2024'!$O$9),"")</f>
        <v/>
      </c>
      <c r="AC6" s="45" t="str">
        <f>IF(AND('Mapa Institucional 2024'!$Y$10="Muy Alta",'Mapa Institucional 2024'!$AA$10="Mayor"),CONCATENATE("R1C",'Mapa Institucional 2024'!$O$10),"")</f>
        <v/>
      </c>
      <c r="AD6" s="45" t="str">
        <f>IF(AND('Mapa Institucional 2024'!$Y$11="Muy Alta",'Mapa Institucional 2024'!$AA$11="Mayor"),CONCATENATE("R1C",'Mapa Institucional 2024'!$O$11),"")</f>
        <v/>
      </c>
      <c r="AE6" s="45" t="str">
        <f>IF(AND('Mapa Institucional 2024'!$Y$12="Muy Alta",'Mapa Institucional 2024'!$AA$12="Mayor"),CONCATENATE("R1C",'Mapa Institucional 2024'!$O$12),"")</f>
        <v/>
      </c>
      <c r="AF6" s="45" t="str">
        <f>IF(AND('Mapa Institucional 2024'!$Y$13="Muy Alta",'Mapa Institucional 2024'!$AA$13="Mayor"),CONCATENATE("R1C",'Mapa Institucional 2024'!$O$13),"")</f>
        <v/>
      </c>
      <c r="AG6" s="46" t="str">
        <f>IF(AND('Mapa Institucional 2024'!$Y$14="Muy Alta",'Mapa Institucional 2024'!$AA$14="Mayor"),CONCATENATE("R1C",'Mapa Institucional 2024'!$O$14),"")</f>
        <v/>
      </c>
      <c r="AH6" s="47" t="str">
        <f ca="1">IF(AND('Mapa Institucional 2024'!$Y$9="Muy Alta",'Mapa Institucional 2024'!$AA$9="Catastrófico"),CONCATENATE("R1C",'Mapa Institucional 2024'!$O$9),"")</f>
        <v/>
      </c>
      <c r="AI6" s="48" t="str">
        <f>IF(AND('Mapa Institucional 2024'!$Y$10="Muy Alta",'Mapa Institucional 2024'!$AA$10="Catastrófico"),CONCATENATE("R1C",'Mapa Institucional 2024'!$O$10),"")</f>
        <v/>
      </c>
      <c r="AJ6" s="48" t="str">
        <f>IF(AND('Mapa Institucional 2024'!$Y$11="Muy Alta",'Mapa Institucional 2024'!$AA$11="Catastrófico"),CONCATENATE("R1C",'Mapa Institucional 2024'!$O$11),"")</f>
        <v/>
      </c>
      <c r="AK6" s="48" t="str">
        <f>IF(AND('Mapa Institucional 2024'!$Y$12="Muy Alta",'Mapa Institucional 2024'!$AA$12="Catastrófico"),CONCATENATE("R1C",'Mapa Institucional 2024'!$O$12),"")</f>
        <v/>
      </c>
      <c r="AL6" s="48" t="str">
        <f>IF(AND('Mapa Institucional 2024'!$Y$13="Muy Alta",'Mapa Institucional 2024'!$AA$13="Catastrófico"),CONCATENATE("R1C",'Mapa Institucional 2024'!$O$13),"")</f>
        <v/>
      </c>
      <c r="AM6" s="49" t="str">
        <f>IF(AND('Mapa Institucional 2024'!$Y$14="Muy Alta",'Mapa Institucional 2024'!$AA$14="Catastrófico"),CONCATENATE("R1C",'Mapa Institucional 2024'!$O$14),"")</f>
        <v/>
      </c>
      <c r="AN6" s="82"/>
      <c r="AO6" s="461" t="s">
        <v>79</v>
      </c>
      <c r="AP6" s="462"/>
      <c r="AQ6" s="462"/>
      <c r="AR6" s="462"/>
      <c r="AS6" s="462"/>
      <c r="AT6" s="463"/>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402"/>
      <c r="C7" s="402"/>
      <c r="D7" s="403"/>
      <c r="E7" s="443"/>
      <c r="F7" s="444"/>
      <c r="G7" s="444"/>
      <c r="H7" s="444"/>
      <c r="I7" s="445"/>
      <c r="J7" s="50" t="str">
        <f ca="1">IF(AND('Mapa Institucional 2024'!$Y$15="Muy Alta",'Mapa Institucional 2024'!$AA$15="Leve"),CONCATENATE("R2C",'Mapa Institucional 2024'!$O$15),"")</f>
        <v/>
      </c>
      <c r="K7" s="51" t="str">
        <f>IF(AND('Mapa Institucional 2024'!$Y$16="Muy Alta",'Mapa Institucional 2024'!$AA$16="Leve"),CONCATENATE("R2C",'Mapa Institucional 2024'!$O$16),"")</f>
        <v/>
      </c>
      <c r="L7" s="51" t="str">
        <f>IF(AND('Mapa Institucional 2024'!$Y$17="Muy Alta",'Mapa Institucional 2024'!$AA$17="Leve"),CONCATENATE("R2C",'Mapa Institucional 2024'!$O$17),"")</f>
        <v/>
      </c>
      <c r="M7" s="51" t="str">
        <f>IF(AND('Mapa Institucional 2024'!$Y$18="Muy Alta",'Mapa Institucional 2024'!$AA$18="Leve"),CONCATENATE("R2C",'Mapa Institucional 2024'!$O$18),"")</f>
        <v/>
      </c>
      <c r="N7" s="51" t="str">
        <f>IF(AND('Mapa Institucional 2024'!$Y$19="Muy Alta",'Mapa Institucional 2024'!$AA$19="Leve"),CONCATENATE("R2C",'Mapa Institucional 2024'!$O$19),"")</f>
        <v/>
      </c>
      <c r="O7" s="52" t="str">
        <f>IF(AND('Mapa Institucional 2024'!$Y$20="Muy Alta",'Mapa Institucional 2024'!$AA$20="Leve"),CONCATENATE("R2C",'Mapa Institucional 2024'!$O$20),"")</f>
        <v/>
      </c>
      <c r="P7" s="50" t="str">
        <f ca="1">IF(AND('Mapa Institucional 2024'!$Y$15="Muy Alta",'Mapa Institucional 2024'!$AA$15="Menor"),CONCATENATE("R2C",'Mapa Institucional 2024'!$O$15),"")</f>
        <v/>
      </c>
      <c r="Q7" s="51" t="str">
        <f>IF(AND('Mapa Institucional 2024'!$Y$16="Muy Alta",'Mapa Institucional 2024'!$AA$16="Menor"),CONCATENATE("R2C",'Mapa Institucional 2024'!$O$16),"")</f>
        <v/>
      </c>
      <c r="R7" s="51" t="str">
        <f>IF(AND('Mapa Institucional 2024'!$Y$17="Muy Alta",'Mapa Institucional 2024'!$AA$17="Menor"),CONCATENATE("R2C",'Mapa Institucional 2024'!$O$17),"")</f>
        <v/>
      </c>
      <c r="S7" s="51" t="str">
        <f>IF(AND('Mapa Institucional 2024'!$Y$18="Muy Alta",'Mapa Institucional 2024'!$AA$18="Menor"),CONCATENATE("R2C",'Mapa Institucional 2024'!$O$18),"")</f>
        <v/>
      </c>
      <c r="T7" s="51" t="str">
        <f>IF(AND('Mapa Institucional 2024'!$Y$19="Muy Alta",'Mapa Institucional 2024'!$AA$19="Menor"),CONCATENATE("R2C",'Mapa Institucional 2024'!$O$19),"")</f>
        <v/>
      </c>
      <c r="U7" s="52" t="str">
        <f>IF(AND('Mapa Institucional 2024'!$Y$20="Muy Alta",'Mapa Institucional 2024'!$AA$20="Menor"),CONCATENATE("R2C",'Mapa Institucional 2024'!$O$20),"")</f>
        <v/>
      </c>
      <c r="V7" s="50" t="str">
        <f ca="1">IF(AND('Mapa Institucional 2024'!$Y$15="Muy Alta",'Mapa Institucional 2024'!$AA$15="Moderado"),CONCATENATE("R2C",'Mapa Institucional 2024'!$O$15),"")</f>
        <v/>
      </c>
      <c r="W7" s="51" t="str">
        <f>IF(AND('Mapa Institucional 2024'!$Y$16="Muy Alta",'Mapa Institucional 2024'!$AA$16="Moderado"),CONCATENATE("R2C",'Mapa Institucional 2024'!$O$16),"")</f>
        <v/>
      </c>
      <c r="X7" s="51" t="str">
        <f>IF(AND('Mapa Institucional 2024'!$Y$17="Muy Alta",'Mapa Institucional 2024'!$AA$17="Moderado"),CONCATENATE("R2C",'Mapa Institucional 2024'!$O$17),"")</f>
        <v/>
      </c>
      <c r="Y7" s="51" t="str">
        <f>IF(AND('Mapa Institucional 2024'!$Y$18="Muy Alta",'Mapa Institucional 2024'!$AA$18="Moderado"),CONCATENATE("R2C",'Mapa Institucional 2024'!$O$18),"")</f>
        <v/>
      </c>
      <c r="Z7" s="51" t="str">
        <f>IF(AND('Mapa Institucional 2024'!$Y$19="Muy Alta",'Mapa Institucional 2024'!$AA$19="Moderado"),CONCATENATE("R2C",'Mapa Institucional 2024'!$O$19),"")</f>
        <v/>
      </c>
      <c r="AA7" s="52" t="str">
        <f>IF(AND('Mapa Institucional 2024'!$Y$20="Muy Alta",'Mapa Institucional 2024'!$AA$20="Moderado"),CONCATENATE("R2C",'Mapa Institucional 2024'!$O$20),"")</f>
        <v/>
      </c>
      <c r="AB7" s="50" t="str">
        <f ca="1">IF(AND('Mapa Institucional 2024'!$Y$15="Muy Alta",'Mapa Institucional 2024'!$AA$15="Mayor"),CONCATENATE("R2C",'Mapa Institucional 2024'!$O$15),"")</f>
        <v/>
      </c>
      <c r="AC7" s="51" t="str">
        <f>IF(AND('Mapa Institucional 2024'!$Y$16="Muy Alta",'Mapa Institucional 2024'!$AA$16="Mayor"),CONCATENATE("R2C",'Mapa Institucional 2024'!$O$16),"")</f>
        <v/>
      </c>
      <c r="AD7" s="51" t="str">
        <f>IF(AND('Mapa Institucional 2024'!$Y$17="Muy Alta",'Mapa Institucional 2024'!$AA$17="Mayor"),CONCATENATE("R2C",'Mapa Institucional 2024'!$O$17),"")</f>
        <v/>
      </c>
      <c r="AE7" s="51" t="str">
        <f>IF(AND('Mapa Institucional 2024'!$Y$18="Muy Alta",'Mapa Institucional 2024'!$AA$18="Mayor"),CONCATENATE("R2C",'Mapa Institucional 2024'!$O$18),"")</f>
        <v/>
      </c>
      <c r="AF7" s="51" t="str">
        <f>IF(AND('Mapa Institucional 2024'!$Y$19="Muy Alta",'Mapa Institucional 2024'!$AA$19="Mayor"),CONCATENATE("R2C",'Mapa Institucional 2024'!$O$19),"")</f>
        <v/>
      </c>
      <c r="AG7" s="52" t="str">
        <f>IF(AND('Mapa Institucional 2024'!$Y$20="Muy Alta",'Mapa Institucional 2024'!$AA$20="Mayor"),CONCATENATE("R2C",'Mapa Institucional 2024'!$O$20),"")</f>
        <v/>
      </c>
      <c r="AH7" s="53" t="str">
        <f ca="1">IF(AND('Mapa Institucional 2024'!$Y$15="Muy Alta",'Mapa Institucional 2024'!$AA$15="Catastrófico"),CONCATENATE("R2C",'Mapa Institucional 2024'!$O$15),"")</f>
        <v/>
      </c>
      <c r="AI7" s="54" t="str">
        <f>IF(AND('Mapa Institucional 2024'!$Y$16="Muy Alta",'Mapa Institucional 2024'!$AA$16="Catastrófico"),CONCATENATE("R2C",'Mapa Institucional 2024'!$O$16),"")</f>
        <v/>
      </c>
      <c r="AJ7" s="54" t="str">
        <f>IF(AND('Mapa Institucional 2024'!$Y$17="Muy Alta",'Mapa Institucional 2024'!$AA$17="Catastrófico"),CONCATENATE("R2C",'Mapa Institucional 2024'!$O$17),"")</f>
        <v/>
      </c>
      <c r="AK7" s="54" t="str">
        <f>IF(AND('Mapa Institucional 2024'!$Y$18="Muy Alta",'Mapa Institucional 2024'!$AA$18="Catastrófico"),CONCATENATE("R2C",'Mapa Institucional 2024'!$O$18),"")</f>
        <v/>
      </c>
      <c r="AL7" s="54" t="str">
        <f>IF(AND('Mapa Institucional 2024'!$Y$19="Muy Alta",'Mapa Institucional 2024'!$AA$19="Catastrófico"),CONCATENATE("R2C",'Mapa Institucional 2024'!$O$19),"")</f>
        <v/>
      </c>
      <c r="AM7" s="55" t="str">
        <f>IF(AND('Mapa Institucional 2024'!$Y$20="Muy Alta",'Mapa Institucional 2024'!$AA$20="Catastrófico"),CONCATENATE("R2C",'Mapa Institucional 2024'!$O$20),"")</f>
        <v/>
      </c>
      <c r="AN7" s="82"/>
      <c r="AO7" s="464"/>
      <c r="AP7" s="465"/>
      <c r="AQ7" s="465"/>
      <c r="AR7" s="465"/>
      <c r="AS7" s="465"/>
      <c r="AT7" s="466"/>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402"/>
      <c r="C8" s="402"/>
      <c r="D8" s="403"/>
      <c r="E8" s="443"/>
      <c r="F8" s="444"/>
      <c r="G8" s="444"/>
      <c r="H8" s="444"/>
      <c r="I8" s="445"/>
      <c r="J8" s="50" t="str">
        <f>IF(AND('Mapa Institucional 2024'!$Y$21="Muy Alta",'Mapa Institucional 2024'!$AA$21="Leve"),CONCATENATE("R3C",'Mapa Institucional 2024'!$O$21),"")</f>
        <v/>
      </c>
      <c r="K8" s="51" t="str">
        <f>IF(AND('Mapa Institucional 2024'!$Y$22="Muy Alta",'Mapa Institucional 2024'!$AA$22="Leve"),CONCATENATE("R3C",'Mapa Institucional 2024'!$O$22),"")</f>
        <v/>
      </c>
      <c r="L8" s="51" t="str">
        <f>IF(AND('Mapa Institucional 2024'!$Y$23="Muy Alta",'Mapa Institucional 2024'!$AA$23="Leve"),CONCATENATE("R3C",'Mapa Institucional 2024'!$O$23),"")</f>
        <v/>
      </c>
      <c r="M8" s="51" t="str">
        <f>IF(AND('Mapa Institucional 2024'!$Y$24="Muy Alta",'Mapa Institucional 2024'!$AA$24="Leve"),CONCATENATE("R3C",'Mapa Institucional 2024'!$O$24),"")</f>
        <v/>
      </c>
      <c r="N8" s="51" t="str">
        <f>IF(AND('Mapa Institucional 2024'!$Y$25="Muy Alta",'Mapa Institucional 2024'!$AA$25="Leve"),CONCATENATE("R3C",'Mapa Institucional 2024'!$O$25),"")</f>
        <v/>
      </c>
      <c r="O8" s="52" t="str">
        <f>IF(AND('Mapa Institucional 2024'!$Y$26="Muy Alta",'Mapa Institucional 2024'!$AA$26="Leve"),CONCATENATE("R3C",'Mapa Institucional 2024'!$O$26),"")</f>
        <v/>
      </c>
      <c r="P8" s="50" t="str">
        <f>IF(AND('Mapa Institucional 2024'!$Y$21="Muy Alta",'Mapa Institucional 2024'!$AA$21="Menor"),CONCATENATE("R3C",'Mapa Institucional 2024'!$O$21),"")</f>
        <v/>
      </c>
      <c r="Q8" s="51" t="str">
        <f>IF(AND('Mapa Institucional 2024'!$Y$22="Muy Alta",'Mapa Institucional 2024'!$AA$22="Menor"),CONCATENATE("R3C",'Mapa Institucional 2024'!$O$22),"")</f>
        <v/>
      </c>
      <c r="R8" s="51" t="str">
        <f>IF(AND('Mapa Institucional 2024'!$Y$23="Muy Alta",'Mapa Institucional 2024'!$AA$23="Menor"),CONCATENATE("R3C",'Mapa Institucional 2024'!$O$23),"")</f>
        <v/>
      </c>
      <c r="S8" s="51" t="str">
        <f>IF(AND('Mapa Institucional 2024'!$Y$24="Muy Alta",'Mapa Institucional 2024'!$AA$24="Menor"),CONCATENATE("R3C",'Mapa Institucional 2024'!$O$24),"")</f>
        <v/>
      </c>
      <c r="T8" s="51" t="str">
        <f>IF(AND('Mapa Institucional 2024'!$Y$25="Muy Alta",'Mapa Institucional 2024'!$AA$25="Menor"),CONCATENATE("R3C",'Mapa Institucional 2024'!$O$25),"")</f>
        <v/>
      </c>
      <c r="U8" s="52" t="str">
        <f>IF(AND('Mapa Institucional 2024'!$Y$26="Muy Alta",'Mapa Institucional 2024'!$AA$26="Menor"),CONCATENATE("R3C",'Mapa Institucional 2024'!$O$26),"")</f>
        <v/>
      </c>
      <c r="V8" s="50" t="str">
        <f>IF(AND('Mapa Institucional 2024'!$Y$21="Muy Alta",'Mapa Institucional 2024'!$AA$21="Moderado"),CONCATENATE("R3C",'Mapa Institucional 2024'!$O$21),"")</f>
        <v/>
      </c>
      <c r="W8" s="51" t="str">
        <f>IF(AND('Mapa Institucional 2024'!$Y$22="Muy Alta",'Mapa Institucional 2024'!$AA$22="Moderado"),CONCATENATE("R3C",'Mapa Institucional 2024'!$O$22),"")</f>
        <v/>
      </c>
      <c r="X8" s="51" t="str">
        <f>IF(AND('Mapa Institucional 2024'!$Y$23="Muy Alta",'Mapa Institucional 2024'!$AA$23="Moderado"),CONCATENATE("R3C",'Mapa Institucional 2024'!$O$23),"")</f>
        <v/>
      </c>
      <c r="Y8" s="51" t="str">
        <f>IF(AND('Mapa Institucional 2024'!$Y$24="Muy Alta",'Mapa Institucional 2024'!$AA$24="Moderado"),CONCATENATE("R3C",'Mapa Institucional 2024'!$O$24),"")</f>
        <v/>
      </c>
      <c r="Z8" s="51" t="str">
        <f>IF(AND('Mapa Institucional 2024'!$Y$25="Muy Alta",'Mapa Institucional 2024'!$AA$25="Moderado"),CONCATENATE("R3C",'Mapa Institucional 2024'!$O$25),"")</f>
        <v/>
      </c>
      <c r="AA8" s="52" t="str">
        <f>IF(AND('Mapa Institucional 2024'!$Y$26="Muy Alta",'Mapa Institucional 2024'!$AA$26="Moderado"),CONCATENATE("R3C",'Mapa Institucional 2024'!$O$26),"")</f>
        <v/>
      </c>
      <c r="AB8" s="50" t="str">
        <f>IF(AND('Mapa Institucional 2024'!$Y$21="Muy Alta",'Mapa Institucional 2024'!$AA$21="Mayor"),CONCATENATE("R3C",'Mapa Institucional 2024'!$O$21),"")</f>
        <v/>
      </c>
      <c r="AC8" s="51" t="str">
        <f>IF(AND('Mapa Institucional 2024'!$Y$22="Muy Alta",'Mapa Institucional 2024'!$AA$22="Mayor"),CONCATENATE("R3C",'Mapa Institucional 2024'!$O$22),"")</f>
        <v/>
      </c>
      <c r="AD8" s="51" t="str">
        <f>IF(AND('Mapa Institucional 2024'!$Y$23="Muy Alta",'Mapa Institucional 2024'!$AA$23="Mayor"),CONCATENATE("R3C",'Mapa Institucional 2024'!$O$23),"")</f>
        <v/>
      </c>
      <c r="AE8" s="51" t="str">
        <f>IF(AND('Mapa Institucional 2024'!$Y$24="Muy Alta",'Mapa Institucional 2024'!$AA$24="Mayor"),CONCATENATE("R3C",'Mapa Institucional 2024'!$O$24),"")</f>
        <v/>
      </c>
      <c r="AF8" s="51" t="str">
        <f>IF(AND('Mapa Institucional 2024'!$Y$25="Muy Alta",'Mapa Institucional 2024'!$AA$25="Mayor"),CONCATENATE("R3C",'Mapa Institucional 2024'!$O$25),"")</f>
        <v/>
      </c>
      <c r="AG8" s="52" t="str">
        <f>IF(AND('Mapa Institucional 2024'!$Y$26="Muy Alta",'Mapa Institucional 2024'!$AA$26="Mayor"),CONCATENATE("R3C",'Mapa Institucional 2024'!$O$26),"")</f>
        <v/>
      </c>
      <c r="AH8" s="53" t="str">
        <f>IF(AND('Mapa Institucional 2024'!$Y$21="Muy Alta",'Mapa Institucional 2024'!$AA$21="Catastrófico"),CONCATENATE("R3C",'Mapa Institucional 2024'!$O$21),"")</f>
        <v/>
      </c>
      <c r="AI8" s="54" t="str">
        <f>IF(AND('Mapa Institucional 2024'!$Y$22="Muy Alta",'Mapa Institucional 2024'!$AA$22="Catastrófico"),CONCATENATE("R3C",'Mapa Institucional 2024'!$O$22),"")</f>
        <v/>
      </c>
      <c r="AJ8" s="54" t="str">
        <f>IF(AND('Mapa Institucional 2024'!$Y$23="Muy Alta",'Mapa Institucional 2024'!$AA$23="Catastrófico"),CONCATENATE("R3C",'Mapa Institucional 2024'!$O$23),"")</f>
        <v/>
      </c>
      <c r="AK8" s="54" t="str">
        <f>IF(AND('Mapa Institucional 2024'!$Y$24="Muy Alta",'Mapa Institucional 2024'!$AA$24="Catastrófico"),CONCATENATE("R3C",'Mapa Institucional 2024'!$O$24),"")</f>
        <v/>
      </c>
      <c r="AL8" s="54" t="str">
        <f>IF(AND('Mapa Institucional 2024'!$Y$25="Muy Alta",'Mapa Institucional 2024'!$AA$25="Catastrófico"),CONCATENATE("R3C",'Mapa Institucional 2024'!$O$25),"")</f>
        <v/>
      </c>
      <c r="AM8" s="55" t="str">
        <f>IF(AND('Mapa Institucional 2024'!$Y$26="Muy Alta",'Mapa Institucional 2024'!$AA$26="Catastrófico"),CONCATENATE("R3C",'Mapa Institucional 2024'!$O$26),"")</f>
        <v/>
      </c>
      <c r="AN8" s="82"/>
      <c r="AO8" s="464"/>
      <c r="AP8" s="465"/>
      <c r="AQ8" s="465"/>
      <c r="AR8" s="465"/>
      <c r="AS8" s="465"/>
      <c r="AT8" s="466"/>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402"/>
      <c r="C9" s="402"/>
      <c r="D9" s="403"/>
      <c r="E9" s="443"/>
      <c r="F9" s="444"/>
      <c r="G9" s="444"/>
      <c r="H9" s="444"/>
      <c r="I9" s="445"/>
      <c r="J9" s="50" t="str">
        <f>IF(AND('Mapa Institucional 2024'!$Y$27="Muy Alta",'Mapa Institucional 2024'!$AA$27="Leve"),CONCATENATE("R4C",'Mapa Institucional 2024'!$O$27),"")</f>
        <v/>
      </c>
      <c r="K9" s="51" t="str">
        <f>IF(AND('Mapa Institucional 2024'!$Y$28="Muy Alta",'Mapa Institucional 2024'!$AA$28="Leve"),CONCATENATE("R4C",'Mapa Institucional 2024'!$O$28),"")</f>
        <v/>
      </c>
      <c r="L9" s="56" t="str">
        <f>IF(AND('Mapa Institucional 2024'!$Y$29="Muy Alta",'Mapa Institucional 2024'!$AA$29="Leve"),CONCATENATE("R4C",'Mapa Institucional 2024'!$O$29),"")</f>
        <v/>
      </c>
      <c r="M9" s="56" t="str">
        <f>IF(AND('Mapa Institucional 2024'!$Y$30="Muy Alta",'Mapa Institucional 2024'!$AA$30="Leve"),CONCATENATE("R4C",'Mapa Institucional 2024'!$O$30),"")</f>
        <v/>
      </c>
      <c r="N9" s="56" t="str">
        <f>IF(AND('Mapa Institucional 2024'!$Y$31="Muy Alta",'Mapa Institucional 2024'!$AA$31="Leve"),CONCATENATE("R4C",'Mapa Institucional 2024'!$O$31),"")</f>
        <v/>
      </c>
      <c r="O9" s="52" t="str">
        <f>IF(AND('Mapa Institucional 2024'!$Y$32="Muy Alta",'Mapa Institucional 2024'!$AA$32="Leve"),CONCATENATE("R4C",'Mapa Institucional 2024'!$O$32),"")</f>
        <v/>
      </c>
      <c r="P9" s="50" t="str">
        <f>IF(AND('Mapa Institucional 2024'!$Y$27="Muy Alta",'Mapa Institucional 2024'!$AA$27="Menor"),CONCATENATE("R4C",'Mapa Institucional 2024'!$O$27),"")</f>
        <v/>
      </c>
      <c r="Q9" s="51" t="str">
        <f>IF(AND('Mapa Institucional 2024'!$Y$28="Muy Alta",'Mapa Institucional 2024'!$AA$28="Menor"),CONCATENATE("R4C",'Mapa Institucional 2024'!$O$28),"")</f>
        <v/>
      </c>
      <c r="R9" s="56" t="str">
        <f>IF(AND('Mapa Institucional 2024'!$Y$29="Muy Alta",'Mapa Institucional 2024'!$AA$29="Menor"),CONCATENATE("R4C",'Mapa Institucional 2024'!$O$29),"")</f>
        <v/>
      </c>
      <c r="S9" s="56" t="str">
        <f>IF(AND('Mapa Institucional 2024'!$Y$30="Muy Alta",'Mapa Institucional 2024'!$AA$30="Menor"),CONCATENATE("R4C",'Mapa Institucional 2024'!$O$30),"")</f>
        <v/>
      </c>
      <c r="T9" s="56" t="str">
        <f>IF(AND('Mapa Institucional 2024'!$Y$31="Muy Alta",'Mapa Institucional 2024'!$AA$31="Menor"),CONCATENATE("R4C",'Mapa Institucional 2024'!$O$31),"")</f>
        <v/>
      </c>
      <c r="U9" s="52" t="str">
        <f>IF(AND('Mapa Institucional 2024'!$Y$32="Muy Alta",'Mapa Institucional 2024'!$AA$32="Menor"),CONCATENATE("R4C",'Mapa Institucional 2024'!$O$32),"")</f>
        <v/>
      </c>
      <c r="V9" s="50" t="str">
        <f>IF(AND('Mapa Institucional 2024'!$Y$27="Muy Alta",'Mapa Institucional 2024'!$AA$27="Moderado"),CONCATENATE("R4C",'Mapa Institucional 2024'!$O$27),"")</f>
        <v/>
      </c>
      <c r="W9" s="51" t="str">
        <f>IF(AND('Mapa Institucional 2024'!$Y$28="Muy Alta",'Mapa Institucional 2024'!$AA$28="Moderado"),CONCATENATE("R4C",'Mapa Institucional 2024'!$O$28),"")</f>
        <v/>
      </c>
      <c r="X9" s="56" t="str">
        <f>IF(AND('Mapa Institucional 2024'!$Y$29="Muy Alta",'Mapa Institucional 2024'!$AA$29="Moderado"),CONCATENATE("R4C",'Mapa Institucional 2024'!$O$29),"")</f>
        <v/>
      </c>
      <c r="Y9" s="56" t="str">
        <f>IF(AND('Mapa Institucional 2024'!$Y$30="Muy Alta",'Mapa Institucional 2024'!$AA$30="Moderado"),CONCATENATE("R4C",'Mapa Institucional 2024'!$O$30),"")</f>
        <v/>
      </c>
      <c r="Z9" s="56" t="str">
        <f>IF(AND('Mapa Institucional 2024'!$Y$31="Muy Alta",'Mapa Institucional 2024'!$AA$31="Moderado"),CONCATENATE("R4C",'Mapa Institucional 2024'!$O$31),"")</f>
        <v/>
      </c>
      <c r="AA9" s="52" t="str">
        <f>IF(AND('Mapa Institucional 2024'!$Y$32="Muy Alta",'Mapa Institucional 2024'!$AA$32="Moderado"),CONCATENATE("R4C",'Mapa Institucional 2024'!$O$32),"")</f>
        <v/>
      </c>
      <c r="AB9" s="50" t="str">
        <f>IF(AND('Mapa Institucional 2024'!$Y$27="Muy Alta",'Mapa Institucional 2024'!$AA$27="Mayor"),CONCATENATE("R4C",'Mapa Institucional 2024'!$O$27),"")</f>
        <v/>
      </c>
      <c r="AC9" s="51" t="str">
        <f>IF(AND('Mapa Institucional 2024'!$Y$28="Muy Alta",'Mapa Institucional 2024'!$AA$28="Mayor"),CONCATENATE("R4C",'Mapa Institucional 2024'!$O$28),"")</f>
        <v/>
      </c>
      <c r="AD9" s="56" t="str">
        <f>IF(AND('Mapa Institucional 2024'!$Y$29="Muy Alta",'Mapa Institucional 2024'!$AA$29="Mayor"),CONCATENATE("R4C",'Mapa Institucional 2024'!$O$29),"")</f>
        <v/>
      </c>
      <c r="AE9" s="56" t="str">
        <f>IF(AND('Mapa Institucional 2024'!$Y$30="Muy Alta",'Mapa Institucional 2024'!$AA$30="Mayor"),CONCATENATE("R4C",'Mapa Institucional 2024'!$O$30),"")</f>
        <v/>
      </c>
      <c r="AF9" s="56" t="str">
        <f>IF(AND('Mapa Institucional 2024'!$Y$31="Muy Alta",'Mapa Institucional 2024'!$AA$31="Mayor"),CONCATENATE("R4C",'Mapa Institucional 2024'!$O$31),"")</f>
        <v/>
      </c>
      <c r="AG9" s="52" t="str">
        <f>IF(AND('Mapa Institucional 2024'!$Y$32="Muy Alta",'Mapa Institucional 2024'!$AA$32="Mayor"),CONCATENATE("R4C",'Mapa Institucional 2024'!$O$32),"")</f>
        <v/>
      </c>
      <c r="AH9" s="53" t="str">
        <f>IF(AND('Mapa Institucional 2024'!$Y$27="Muy Alta",'Mapa Institucional 2024'!$AA$27="Catastrófico"),CONCATENATE("R4C",'Mapa Institucional 2024'!$O$27),"")</f>
        <v/>
      </c>
      <c r="AI9" s="54" t="str">
        <f>IF(AND('Mapa Institucional 2024'!$Y$28="Muy Alta",'Mapa Institucional 2024'!$AA$28="Catastrófico"),CONCATENATE("R4C",'Mapa Institucional 2024'!$O$28),"")</f>
        <v/>
      </c>
      <c r="AJ9" s="54" t="str">
        <f>IF(AND('Mapa Institucional 2024'!$Y$29="Muy Alta",'Mapa Institucional 2024'!$AA$29="Catastrófico"),CONCATENATE("R4C",'Mapa Institucional 2024'!$O$29),"")</f>
        <v/>
      </c>
      <c r="AK9" s="54" t="str">
        <f>IF(AND('Mapa Institucional 2024'!$Y$30="Muy Alta",'Mapa Institucional 2024'!$AA$30="Catastrófico"),CONCATENATE("R4C",'Mapa Institucional 2024'!$O$30),"")</f>
        <v/>
      </c>
      <c r="AL9" s="54" t="str">
        <f>IF(AND('Mapa Institucional 2024'!$Y$31="Muy Alta",'Mapa Institucional 2024'!$AA$31="Catastrófico"),CONCATENATE("R4C",'Mapa Institucional 2024'!$O$31),"")</f>
        <v/>
      </c>
      <c r="AM9" s="55" t="str">
        <f>IF(AND('Mapa Institucional 2024'!$Y$32="Muy Alta",'Mapa Institucional 2024'!$AA$32="Catastrófico"),CONCATENATE("R4C",'Mapa Institucional 2024'!$O$32),"")</f>
        <v/>
      </c>
      <c r="AN9" s="82"/>
      <c r="AO9" s="464"/>
      <c r="AP9" s="465"/>
      <c r="AQ9" s="465"/>
      <c r="AR9" s="465"/>
      <c r="AS9" s="465"/>
      <c r="AT9" s="466"/>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402"/>
      <c r="C10" s="402"/>
      <c r="D10" s="403"/>
      <c r="E10" s="443"/>
      <c r="F10" s="444"/>
      <c r="G10" s="444"/>
      <c r="H10" s="444"/>
      <c r="I10" s="445"/>
      <c r="J10" s="50" t="str">
        <f>IF(AND('Mapa Institucional 2024'!$Y$33="Muy Alta",'Mapa Institucional 2024'!$AA$33="Leve"),CONCATENATE("R5C",'Mapa Institucional 2024'!$O$33),"")</f>
        <v/>
      </c>
      <c r="K10" s="51" t="str">
        <f>IF(AND('Mapa Institucional 2024'!$Y$34="Muy Alta",'Mapa Institucional 2024'!$AA$34="Leve"),CONCATENATE("R5C",'Mapa Institucional 2024'!$O$34),"")</f>
        <v/>
      </c>
      <c r="L10" s="56" t="str">
        <f>IF(AND('Mapa Institucional 2024'!$Y$35="Muy Alta",'Mapa Institucional 2024'!$AA$35="Leve"),CONCATENATE("R5C",'Mapa Institucional 2024'!$O$35),"")</f>
        <v/>
      </c>
      <c r="M10" s="56" t="str">
        <f>IF(AND('Mapa Institucional 2024'!$Y$36="Muy Alta",'Mapa Institucional 2024'!$AA$36="Leve"),CONCATENATE("R5C",'Mapa Institucional 2024'!$O$36),"")</f>
        <v/>
      </c>
      <c r="N10" s="56" t="str">
        <f>IF(AND('Mapa Institucional 2024'!$Y$37="Muy Alta",'Mapa Institucional 2024'!$AA$37="Leve"),CONCATENATE("R5C",'Mapa Institucional 2024'!$O$37),"")</f>
        <v/>
      </c>
      <c r="O10" s="52" t="str">
        <f>IF(AND('Mapa Institucional 2024'!$Y$38="Muy Alta",'Mapa Institucional 2024'!$AA$38="Leve"),CONCATENATE("R5C",'Mapa Institucional 2024'!$O$38),"")</f>
        <v/>
      </c>
      <c r="P10" s="50" t="str">
        <f>IF(AND('Mapa Institucional 2024'!$Y$33="Muy Alta",'Mapa Institucional 2024'!$AA$33="Menor"),CONCATENATE("R5C",'Mapa Institucional 2024'!$O$33),"")</f>
        <v/>
      </c>
      <c r="Q10" s="51" t="str">
        <f>IF(AND('Mapa Institucional 2024'!$Y$34="Muy Alta",'Mapa Institucional 2024'!$AA$34="Menor"),CONCATENATE("R5C",'Mapa Institucional 2024'!$O$34),"")</f>
        <v/>
      </c>
      <c r="R10" s="56" t="str">
        <f>IF(AND('Mapa Institucional 2024'!$Y$35="Muy Alta",'Mapa Institucional 2024'!$AA$35="Menor"),CONCATENATE("R5C",'Mapa Institucional 2024'!$O$35),"")</f>
        <v/>
      </c>
      <c r="S10" s="56" t="str">
        <f>IF(AND('Mapa Institucional 2024'!$Y$36="Muy Alta",'Mapa Institucional 2024'!$AA$36="Menor"),CONCATENATE("R5C",'Mapa Institucional 2024'!$O$36),"")</f>
        <v/>
      </c>
      <c r="T10" s="56" t="str">
        <f>IF(AND('Mapa Institucional 2024'!$Y$37="Muy Alta",'Mapa Institucional 2024'!$AA$37="Menor"),CONCATENATE("R5C",'Mapa Institucional 2024'!$O$37),"")</f>
        <v/>
      </c>
      <c r="U10" s="52" t="str">
        <f>IF(AND('Mapa Institucional 2024'!$Y$38="Muy Alta",'Mapa Institucional 2024'!$AA$38="Menor"),CONCATENATE("R5C",'Mapa Institucional 2024'!$O$38),"")</f>
        <v/>
      </c>
      <c r="V10" s="50" t="str">
        <f>IF(AND('Mapa Institucional 2024'!$Y$33="Muy Alta",'Mapa Institucional 2024'!$AA$33="Moderado"),CONCATENATE("R5C",'Mapa Institucional 2024'!$O$33),"")</f>
        <v/>
      </c>
      <c r="W10" s="51" t="str">
        <f>IF(AND('Mapa Institucional 2024'!$Y$34="Muy Alta",'Mapa Institucional 2024'!$AA$34="Moderado"),CONCATENATE("R5C",'Mapa Institucional 2024'!$O$34),"")</f>
        <v/>
      </c>
      <c r="X10" s="56" t="str">
        <f>IF(AND('Mapa Institucional 2024'!$Y$35="Muy Alta",'Mapa Institucional 2024'!$AA$35="Moderado"),CONCATENATE("R5C",'Mapa Institucional 2024'!$O$35),"")</f>
        <v/>
      </c>
      <c r="Y10" s="56" t="str">
        <f>IF(AND('Mapa Institucional 2024'!$Y$36="Muy Alta",'Mapa Institucional 2024'!$AA$36="Moderado"),CONCATENATE("R5C",'Mapa Institucional 2024'!$O$36),"")</f>
        <v/>
      </c>
      <c r="Z10" s="56" t="str">
        <f>IF(AND('Mapa Institucional 2024'!$Y$37="Muy Alta",'Mapa Institucional 2024'!$AA$37="Moderado"),CONCATENATE("R5C",'Mapa Institucional 2024'!$O$37),"")</f>
        <v/>
      </c>
      <c r="AA10" s="52" t="str">
        <f>IF(AND('Mapa Institucional 2024'!$Y$38="Muy Alta",'Mapa Institucional 2024'!$AA$38="Moderado"),CONCATENATE("R5C",'Mapa Institucional 2024'!$O$38),"")</f>
        <v/>
      </c>
      <c r="AB10" s="50" t="str">
        <f>IF(AND('Mapa Institucional 2024'!$Y$33="Muy Alta",'Mapa Institucional 2024'!$AA$33="Mayor"),CONCATENATE("R5C",'Mapa Institucional 2024'!$O$33),"")</f>
        <v/>
      </c>
      <c r="AC10" s="51" t="str">
        <f>IF(AND('Mapa Institucional 2024'!$Y$34="Muy Alta",'Mapa Institucional 2024'!$AA$34="Mayor"),CONCATENATE("R5C",'Mapa Institucional 2024'!$O$34),"")</f>
        <v/>
      </c>
      <c r="AD10" s="56" t="str">
        <f>IF(AND('Mapa Institucional 2024'!$Y$35="Muy Alta",'Mapa Institucional 2024'!$AA$35="Mayor"),CONCATENATE("R5C",'Mapa Institucional 2024'!$O$35),"")</f>
        <v/>
      </c>
      <c r="AE10" s="56" t="str">
        <f>IF(AND('Mapa Institucional 2024'!$Y$36="Muy Alta",'Mapa Institucional 2024'!$AA$36="Mayor"),CONCATENATE("R5C",'Mapa Institucional 2024'!$O$36),"")</f>
        <v/>
      </c>
      <c r="AF10" s="56" t="str">
        <f>IF(AND('Mapa Institucional 2024'!$Y$37="Muy Alta",'Mapa Institucional 2024'!$AA$37="Mayor"),CONCATENATE("R5C",'Mapa Institucional 2024'!$O$37),"")</f>
        <v/>
      </c>
      <c r="AG10" s="52" t="str">
        <f>IF(AND('Mapa Institucional 2024'!$Y$38="Muy Alta",'Mapa Institucional 2024'!$AA$38="Mayor"),CONCATENATE("R5C",'Mapa Institucional 2024'!$O$38),"")</f>
        <v/>
      </c>
      <c r="AH10" s="53" t="str">
        <f>IF(AND('Mapa Institucional 2024'!$Y$33="Muy Alta",'Mapa Institucional 2024'!$AA$33="Catastrófico"),CONCATENATE("R5C",'Mapa Institucional 2024'!$O$33),"")</f>
        <v/>
      </c>
      <c r="AI10" s="54" t="str">
        <f>IF(AND('Mapa Institucional 2024'!$Y$34="Muy Alta",'Mapa Institucional 2024'!$AA$34="Catastrófico"),CONCATENATE("R5C",'Mapa Institucional 2024'!$O$34),"")</f>
        <v/>
      </c>
      <c r="AJ10" s="54" t="str">
        <f>IF(AND('Mapa Institucional 2024'!$Y$35="Muy Alta",'Mapa Institucional 2024'!$AA$35="Catastrófico"),CONCATENATE("R5C",'Mapa Institucional 2024'!$O$35),"")</f>
        <v/>
      </c>
      <c r="AK10" s="54" t="str">
        <f>IF(AND('Mapa Institucional 2024'!$Y$36="Muy Alta",'Mapa Institucional 2024'!$AA$36="Catastrófico"),CONCATENATE("R5C",'Mapa Institucional 2024'!$O$36),"")</f>
        <v/>
      </c>
      <c r="AL10" s="54" t="str">
        <f>IF(AND('Mapa Institucional 2024'!$Y$37="Muy Alta",'Mapa Institucional 2024'!$AA$37="Catastrófico"),CONCATENATE("R5C",'Mapa Institucional 2024'!$O$37),"")</f>
        <v/>
      </c>
      <c r="AM10" s="55" t="str">
        <f>IF(AND('Mapa Institucional 2024'!$Y$38="Muy Alta",'Mapa Institucional 2024'!$AA$38="Catastrófico"),CONCATENATE("R5C",'Mapa Institucional 2024'!$O$38),"")</f>
        <v/>
      </c>
      <c r="AN10" s="82"/>
      <c r="AO10" s="464"/>
      <c r="AP10" s="465"/>
      <c r="AQ10" s="465"/>
      <c r="AR10" s="465"/>
      <c r="AS10" s="465"/>
      <c r="AT10" s="466"/>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402"/>
      <c r="C11" s="402"/>
      <c r="D11" s="403"/>
      <c r="E11" s="443"/>
      <c r="F11" s="444"/>
      <c r="G11" s="444"/>
      <c r="H11" s="444"/>
      <c r="I11" s="445"/>
      <c r="J11" s="50" t="str">
        <f>IF(AND('Mapa Institucional 2024'!$Y$39="Muy Alta",'Mapa Institucional 2024'!$AA$39="Leve"),CONCATENATE("R6C",'Mapa Institucional 2024'!$O$39),"")</f>
        <v/>
      </c>
      <c r="K11" s="51" t="str">
        <f>IF(AND('Mapa Institucional 2024'!$Y$40="Muy Alta",'Mapa Institucional 2024'!$AA$40="Leve"),CONCATENATE("R6C",'Mapa Institucional 2024'!$O$40),"")</f>
        <v/>
      </c>
      <c r="L11" s="56" t="str">
        <f>IF(AND('Mapa Institucional 2024'!$Y$41="Muy Alta",'Mapa Institucional 2024'!$AA$41="Leve"),CONCATENATE("R6C",'Mapa Institucional 2024'!$O$41),"")</f>
        <v/>
      </c>
      <c r="M11" s="56" t="str">
        <f>IF(AND('Mapa Institucional 2024'!$Y$42="Muy Alta",'Mapa Institucional 2024'!$AA$42="Leve"),CONCATENATE("R6C",'Mapa Institucional 2024'!$O$42),"")</f>
        <v/>
      </c>
      <c r="N11" s="56" t="str">
        <f>IF(AND('Mapa Institucional 2024'!$Y$43="Muy Alta",'Mapa Institucional 2024'!$AA$43="Leve"),CONCATENATE("R6C",'Mapa Institucional 2024'!$O$43),"")</f>
        <v/>
      </c>
      <c r="O11" s="52" t="str">
        <f>IF(AND('Mapa Institucional 2024'!$Y$44="Muy Alta",'Mapa Institucional 2024'!$AA$44="Leve"),CONCATENATE("R6C",'Mapa Institucional 2024'!$O$44),"")</f>
        <v/>
      </c>
      <c r="P11" s="50" t="str">
        <f>IF(AND('Mapa Institucional 2024'!$Y$39="Muy Alta",'Mapa Institucional 2024'!$AA$39="Menor"),CONCATENATE("R6C",'Mapa Institucional 2024'!$O$39),"")</f>
        <v/>
      </c>
      <c r="Q11" s="51" t="str">
        <f>IF(AND('Mapa Institucional 2024'!$Y$40="Muy Alta",'Mapa Institucional 2024'!$AA$40="Menor"),CONCATENATE("R6C",'Mapa Institucional 2024'!$O$40),"")</f>
        <v/>
      </c>
      <c r="R11" s="56" t="str">
        <f>IF(AND('Mapa Institucional 2024'!$Y$41="Muy Alta",'Mapa Institucional 2024'!$AA$41="Menor"),CONCATENATE("R6C",'Mapa Institucional 2024'!$O$41),"")</f>
        <v/>
      </c>
      <c r="S11" s="56" t="str">
        <f>IF(AND('Mapa Institucional 2024'!$Y$42="Muy Alta",'Mapa Institucional 2024'!$AA$42="Menor"),CONCATENATE("R6C",'Mapa Institucional 2024'!$O$42),"")</f>
        <v/>
      </c>
      <c r="T11" s="56" t="str">
        <f>IF(AND('Mapa Institucional 2024'!$Y$43="Muy Alta",'Mapa Institucional 2024'!$AA$43="Menor"),CONCATENATE("R6C",'Mapa Institucional 2024'!$O$43),"")</f>
        <v/>
      </c>
      <c r="U11" s="52" t="str">
        <f>IF(AND('Mapa Institucional 2024'!$Y$44="Muy Alta",'Mapa Institucional 2024'!$AA$44="Menor"),CONCATENATE("R6C",'Mapa Institucional 2024'!$O$44),"")</f>
        <v/>
      </c>
      <c r="V11" s="50" t="str">
        <f>IF(AND('Mapa Institucional 2024'!$Y$39="Muy Alta",'Mapa Institucional 2024'!$AA$39="Moderado"),CONCATENATE("R6C",'Mapa Institucional 2024'!$O$39),"")</f>
        <v/>
      </c>
      <c r="W11" s="51" t="str">
        <f>IF(AND('Mapa Institucional 2024'!$Y$40="Muy Alta",'Mapa Institucional 2024'!$AA$40="Moderado"),CONCATENATE("R6C",'Mapa Institucional 2024'!$O$40),"")</f>
        <v/>
      </c>
      <c r="X11" s="56" t="str">
        <f>IF(AND('Mapa Institucional 2024'!$Y$41="Muy Alta",'Mapa Institucional 2024'!$AA$41="Moderado"),CONCATENATE("R6C",'Mapa Institucional 2024'!$O$41),"")</f>
        <v/>
      </c>
      <c r="Y11" s="56" t="str">
        <f>IF(AND('Mapa Institucional 2024'!$Y$42="Muy Alta",'Mapa Institucional 2024'!$AA$42="Moderado"),CONCATENATE("R6C",'Mapa Institucional 2024'!$O$42),"")</f>
        <v/>
      </c>
      <c r="Z11" s="56" t="str">
        <f>IF(AND('Mapa Institucional 2024'!$Y$43="Muy Alta",'Mapa Institucional 2024'!$AA$43="Moderado"),CONCATENATE("R6C",'Mapa Institucional 2024'!$O$43),"")</f>
        <v/>
      </c>
      <c r="AA11" s="52" t="str">
        <f>IF(AND('Mapa Institucional 2024'!$Y$44="Muy Alta",'Mapa Institucional 2024'!$AA$44="Moderado"),CONCATENATE("R6C",'Mapa Institucional 2024'!$O$44),"")</f>
        <v/>
      </c>
      <c r="AB11" s="50" t="str">
        <f>IF(AND('Mapa Institucional 2024'!$Y$39="Muy Alta",'Mapa Institucional 2024'!$AA$39="Mayor"),CONCATENATE("R6C",'Mapa Institucional 2024'!$O$39),"")</f>
        <v/>
      </c>
      <c r="AC11" s="51" t="str">
        <f>IF(AND('Mapa Institucional 2024'!$Y$40="Muy Alta",'Mapa Institucional 2024'!$AA$40="Mayor"),CONCATENATE("R6C",'Mapa Institucional 2024'!$O$40),"")</f>
        <v/>
      </c>
      <c r="AD11" s="56" t="str">
        <f>IF(AND('Mapa Institucional 2024'!$Y$41="Muy Alta",'Mapa Institucional 2024'!$AA$41="Mayor"),CONCATENATE("R6C",'Mapa Institucional 2024'!$O$41),"")</f>
        <v/>
      </c>
      <c r="AE11" s="56" t="str">
        <f>IF(AND('Mapa Institucional 2024'!$Y$42="Muy Alta",'Mapa Institucional 2024'!$AA$42="Mayor"),CONCATENATE("R6C",'Mapa Institucional 2024'!$O$42),"")</f>
        <v/>
      </c>
      <c r="AF11" s="56" t="str">
        <f>IF(AND('Mapa Institucional 2024'!$Y$43="Muy Alta",'Mapa Institucional 2024'!$AA$43="Mayor"),CONCATENATE("R6C",'Mapa Institucional 2024'!$O$43),"")</f>
        <v/>
      </c>
      <c r="AG11" s="52" t="str">
        <f>IF(AND('Mapa Institucional 2024'!$Y$44="Muy Alta",'Mapa Institucional 2024'!$AA$44="Mayor"),CONCATENATE("R6C",'Mapa Institucional 2024'!$O$44),"")</f>
        <v/>
      </c>
      <c r="AH11" s="53" t="str">
        <f>IF(AND('Mapa Institucional 2024'!$Y$39="Muy Alta",'Mapa Institucional 2024'!$AA$39="Catastrófico"),CONCATENATE("R6C",'Mapa Institucional 2024'!$O$39),"")</f>
        <v/>
      </c>
      <c r="AI11" s="54" t="str">
        <f>IF(AND('Mapa Institucional 2024'!$Y$40="Muy Alta",'Mapa Institucional 2024'!$AA$40="Catastrófico"),CONCATENATE("R6C",'Mapa Institucional 2024'!$O$40),"")</f>
        <v/>
      </c>
      <c r="AJ11" s="54" t="str">
        <f>IF(AND('Mapa Institucional 2024'!$Y$41="Muy Alta",'Mapa Institucional 2024'!$AA$41="Catastrófico"),CONCATENATE("R6C",'Mapa Institucional 2024'!$O$41),"")</f>
        <v/>
      </c>
      <c r="AK11" s="54" t="str">
        <f>IF(AND('Mapa Institucional 2024'!$Y$42="Muy Alta",'Mapa Institucional 2024'!$AA$42="Catastrófico"),CONCATENATE("R6C",'Mapa Institucional 2024'!$O$42),"")</f>
        <v/>
      </c>
      <c r="AL11" s="54" t="str">
        <f>IF(AND('Mapa Institucional 2024'!$Y$43="Muy Alta",'Mapa Institucional 2024'!$AA$43="Catastrófico"),CONCATENATE("R6C",'Mapa Institucional 2024'!$O$43),"")</f>
        <v/>
      </c>
      <c r="AM11" s="55" t="str">
        <f>IF(AND('Mapa Institucional 2024'!$Y$44="Muy Alta",'Mapa Institucional 2024'!$AA$44="Catastrófico"),CONCATENATE("R6C",'Mapa Institucional 2024'!$O$44),"")</f>
        <v/>
      </c>
      <c r="AN11" s="82"/>
      <c r="AO11" s="464"/>
      <c r="AP11" s="465"/>
      <c r="AQ11" s="465"/>
      <c r="AR11" s="465"/>
      <c r="AS11" s="465"/>
      <c r="AT11" s="466"/>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402"/>
      <c r="C12" s="402"/>
      <c r="D12" s="403"/>
      <c r="E12" s="443"/>
      <c r="F12" s="444"/>
      <c r="G12" s="444"/>
      <c r="H12" s="444"/>
      <c r="I12" s="445"/>
      <c r="J12" s="50" t="str">
        <f>IF(AND('Mapa Institucional 2024'!$Y$45="Muy Alta",'Mapa Institucional 2024'!$AA$45="Leve"),CONCATENATE("R7C",'Mapa Institucional 2024'!$O$45),"")</f>
        <v/>
      </c>
      <c r="K12" s="51" t="str">
        <f>IF(AND('Mapa Institucional 2024'!$Y$46="Muy Alta",'Mapa Institucional 2024'!$AA$46="Leve"),CONCATENATE("R7C",'Mapa Institucional 2024'!$O$46),"")</f>
        <v/>
      </c>
      <c r="L12" s="56" t="str">
        <f>IF(AND('Mapa Institucional 2024'!$Y$47="Muy Alta",'Mapa Institucional 2024'!$AA$47="Leve"),CONCATENATE("R7C",'Mapa Institucional 2024'!$O$47),"")</f>
        <v/>
      </c>
      <c r="M12" s="56" t="str">
        <f>IF(AND('Mapa Institucional 2024'!$Y$48="Muy Alta",'Mapa Institucional 2024'!$AA$48="Leve"),CONCATENATE("R7C",'Mapa Institucional 2024'!$O$48),"")</f>
        <v/>
      </c>
      <c r="N12" s="56" t="str">
        <f>IF(AND('Mapa Institucional 2024'!$Y$49="Muy Alta",'Mapa Institucional 2024'!$AA$49="Leve"),CONCATENATE("R7C",'Mapa Institucional 2024'!$O$49),"")</f>
        <v/>
      </c>
      <c r="O12" s="52" t="str">
        <f>IF(AND('Mapa Institucional 2024'!$Y$50="Muy Alta",'Mapa Institucional 2024'!$AA$50="Leve"),CONCATENATE("R7C",'Mapa Institucional 2024'!$O$50),"")</f>
        <v/>
      </c>
      <c r="P12" s="50" t="str">
        <f>IF(AND('Mapa Institucional 2024'!$Y$45="Muy Alta",'Mapa Institucional 2024'!$AA$45="Menor"),CONCATENATE("R7C",'Mapa Institucional 2024'!$O$45),"")</f>
        <v/>
      </c>
      <c r="Q12" s="51" t="str">
        <f>IF(AND('Mapa Institucional 2024'!$Y$46="Muy Alta",'Mapa Institucional 2024'!$AA$46="Menor"),CONCATENATE("R7C",'Mapa Institucional 2024'!$O$46),"")</f>
        <v/>
      </c>
      <c r="R12" s="56" t="str">
        <f>IF(AND('Mapa Institucional 2024'!$Y$47="Muy Alta",'Mapa Institucional 2024'!$AA$47="Menor"),CONCATENATE("R7C",'Mapa Institucional 2024'!$O$47),"")</f>
        <v/>
      </c>
      <c r="S12" s="56" t="str">
        <f>IF(AND('Mapa Institucional 2024'!$Y$48="Muy Alta",'Mapa Institucional 2024'!$AA$48="Menor"),CONCATENATE("R7C",'Mapa Institucional 2024'!$O$48),"")</f>
        <v/>
      </c>
      <c r="T12" s="56" t="str">
        <f>IF(AND('Mapa Institucional 2024'!$Y$49="Muy Alta",'Mapa Institucional 2024'!$AA$49="Menor"),CONCATENATE("R7C",'Mapa Institucional 2024'!$O$49),"")</f>
        <v/>
      </c>
      <c r="U12" s="52" t="str">
        <f>IF(AND('Mapa Institucional 2024'!$Y$50="Muy Alta",'Mapa Institucional 2024'!$AA$50="Menor"),CONCATENATE("R7C",'Mapa Institucional 2024'!$O$50),"")</f>
        <v/>
      </c>
      <c r="V12" s="50" t="str">
        <f>IF(AND('Mapa Institucional 2024'!$Y$45="Muy Alta",'Mapa Institucional 2024'!$AA$45="Moderado"),CONCATENATE("R7C",'Mapa Institucional 2024'!$O$45),"")</f>
        <v/>
      </c>
      <c r="W12" s="51" t="str">
        <f>IF(AND('Mapa Institucional 2024'!$Y$46="Muy Alta",'Mapa Institucional 2024'!$AA$46="Moderado"),CONCATENATE("R7C",'Mapa Institucional 2024'!$O$46),"")</f>
        <v/>
      </c>
      <c r="X12" s="56" t="str">
        <f>IF(AND('Mapa Institucional 2024'!$Y$47="Muy Alta",'Mapa Institucional 2024'!$AA$47="Moderado"),CONCATENATE("R7C",'Mapa Institucional 2024'!$O$47),"")</f>
        <v/>
      </c>
      <c r="Y12" s="56" t="str">
        <f>IF(AND('Mapa Institucional 2024'!$Y$48="Muy Alta",'Mapa Institucional 2024'!$AA$48="Moderado"),CONCATENATE("R7C",'Mapa Institucional 2024'!$O$48),"")</f>
        <v/>
      </c>
      <c r="Z12" s="56" t="str">
        <f>IF(AND('Mapa Institucional 2024'!$Y$49="Muy Alta",'Mapa Institucional 2024'!$AA$49="Moderado"),CONCATENATE("R7C",'Mapa Institucional 2024'!$O$49),"")</f>
        <v/>
      </c>
      <c r="AA12" s="52" t="str">
        <f>IF(AND('Mapa Institucional 2024'!$Y$50="Muy Alta",'Mapa Institucional 2024'!$AA$50="Moderado"),CONCATENATE("R7C",'Mapa Institucional 2024'!$O$50),"")</f>
        <v/>
      </c>
      <c r="AB12" s="50" t="str">
        <f>IF(AND('Mapa Institucional 2024'!$Y$45="Muy Alta",'Mapa Institucional 2024'!$AA$45="Mayor"),CONCATENATE("R7C",'Mapa Institucional 2024'!$O$45),"")</f>
        <v/>
      </c>
      <c r="AC12" s="51" t="str">
        <f>IF(AND('Mapa Institucional 2024'!$Y$46="Muy Alta",'Mapa Institucional 2024'!$AA$46="Mayor"),CONCATENATE("R7C",'Mapa Institucional 2024'!$O$46),"")</f>
        <v/>
      </c>
      <c r="AD12" s="56" t="str">
        <f>IF(AND('Mapa Institucional 2024'!$Y$47="Muy Alta",'Mapa Institucional 2024'!$AA$47="Mayor"),CONCATENATE("R7C",'Mapa Institucional 2024'!$O$47),"")</f>
        <v/>
      </c>
      <c r="AE12" s="56" t="str">
        <f>IF(AND('Mapa Institucional 2024'!$Y$48="Muy Alta",'Mapa Institucional 2024'!$AA$48="Mayor"),CONCATENATE("R7C",'Mapa Institucional 2024'!$O$48),"")</f>
        <v/>
      </c>
      <c r="AF12" s="56" t="str">
        <f>IF(AND('Mapa Institucional 2024'!$Y$49="Muy Alta",'Mapa Institucional 2024'!$AA$49="Mayor"),CONCATENATE("R7C",'Mapa Institucional 2024'!$O$49),"")</f>
        <v/>
      </c>
      <c r="AG12" s="52" t="str">
        <f>IF(AND('Mapa Institucional 2024'!$Y$50="Muy Alta",'Mapa Institucional 2024'!$AA$50="Mayor"),CONCATENATE("R7C",'Mapa Institucional 2024'!$O$50),"")</f>
        <v/>
      </c>
      <c r="AH12" s="53" t="str">
        <f>IF(AND('Mapa Institucional 2024'!$Y$45="Muy Alta",'Mapa Institucional 2024'!$AA$45="Catastrófico"),CONCATENATE("R7C",'Mapa Institucional 2024'!$O$45),"")</f>
        <v/>
      </c>
      <c r="AI12" s="54" t="str">
        <f>IF(AND('Mapa Institucional 2024'!$Y$46="Muy Alta",'Mapa Institucional 2024'!$AA$46="Catastrófico"),CONCATENATE("R7C",'Mapa Institucional 2024'!$O$46),"")</f>
        <v/>
      </c>
      <c r="AJ12" s="54" t="str">
        <f>IF(AND('Mapa Institucional 2024'!$Y$47="Muy Alta",'Mapa Institucional 2024'!$AA$47="Catastrófico"),CONCATENATE("R7C",'Mapa Institucional 2024'!$O$47),"")</f>
        <v/>
      </c>
      <c r="AK12" s="54" t="str">
        <f>IF(AND('Mapa Institucional 2024'!$Y$48="Muy Alta",'Mapa Institucional 2024'!$AA$48="Catastrófico"),CONCATENATE("R7C",'Mapa Institucional 2024'!$O$48),"")</f>
        <v/>
      </c>
      <c r="AL12" s="54" t="str">
        <f>IF(AND('Mapa Institucional 2024'!$Y$49="Muy Alta",'Mapa Institucional 2024'!$AA$49="Catastrófico"),CONCATENATE("R7C",'Mapa Institucional 2024'!$O$49),"")</f>
        <v/>
      </c>
      <c r="AM12" s="55" t="str">
        <f>IF(AND('Mapa Institucional 2024'!$Y$50="Muy Alta",'Mapa Institucional 2024'!$AA$50="Catastrófico"),CONCATENATE("R7C",'Mapa Institucional 2024'!$O$50),"")</f>
        <v/>
      </c>
      <c r="AN12" s="82"/>
      <c r="AO12" s="464"/>
      <c r="AP12" s="465"/>
      <c r="AQ12" s="465"/>
      <c r="AR12" s="465"/>
      <c r="AS12" s="465"/>
      <c r="AT12" s="466"/>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402"/>
      <c r="C13" s="402"/>
      <c r="D13" s="403"/>
      <c r="E13" s="443"/>
      <c r="F13" s="444"/>
      <c r="G13" s="444"/>
      <c r="H13" s="444"/>
      <c r="I13" s="445"/>
      <c r="J13" s="50" t="str">
        <f>IF(AND('Mapa Institucional 2024'!$Y$51="Muy Alta",'Mapa Institucional 2024'!$AA$51="Leve"),CONCATENATE("R8C",'Mapa Institucional 2024'!$O$51),"")</f>
        <v/>
      </c>
      <c r="K13" s="51" t="str">
        <f>IF(AND('Mapa Institucional 2024'!$Y$52="Muy Alta",'Mapa Institucional 2024'!$AA$52="Leve"),CONCATENATE("R8C",'Mapa Institucional 2024'!$O$52),"")</f>
        <v/>
      </c>
      <c r="L13" s="56" t="str">
        <f>IF(AND('Mapa Institucional 2024'!$Y$53="Muy Alta",'Mapa Institucional 2024'!$AA$53="Leve"),CONCATENATE("R8C",'Mapa Institucional 2024'!$O$53),"")</f>
        <v/>
      </c>
      <c r="M13" s="56" t="str">
        <f>IF(AND('Mapa Institucional 2024'!$Y$54="Muy Alta",'Mapa Institucional 2024'!$AA$54="Leve"),CONCATENATE("R8C",'Mapa Institucional 2024'!$O$54),"")</f>
        <v/>
      </c>
      <c r="N13" s="56" t="str">
        <f>IF(AND('Mapa Institucional 2024'!$Y$55="Muy Alta",'Mapa Institucional 2024'!$AA$55="Leve"),CONCATENATE("R8C",'Mapa Institucional 2024'!$O$55),"")</f>
        <v/>
      </c>
      <c r="O13" s="52" t="str">
        <f>IF(AND('Mapa Institucional 2024'!$Y$56="Muy Alta",'Mapa Institucional 2024'!$AA$56="Leve"),CONCATENATE("R8C",'Mapa Institucional 2024'!$O$56),"")</f>
        <v/>
      </c>
      <c r="P13" s="50" t="str">
        <f>IF(AND('Mapa Institucional 2024'!$Y$51="Muy Alta",'Mapa Institucional 2024'!$AA$51="Menor"),CONCATENATE("R8C",'Mapa Institucional 2024'!$O$51),"")</f>
        <v/>
      </c>
      <c r="Q13" s="51" t="str">
        <f>IF(AND('Mapa Institucional 2024'!$Y$52="Muy Alta",'Mapa Institucional 2024'!$AA$52="Menor"),CONCATENATE("R8C",'Mapa Institucional 2024'!$O$52),"")</f>
        <v/>
      </c>
      <c r="R13" s="56" t="str">
        <f>IF(AND('Mapa Institucional 2024'!$Y$53="Muy Alta",'Mapa Institucional 2024'!$AA$53="Menor"),CONCATENATE("R8C",'Mapa Institucional 2024'!$O$53),"")</f>
        <v/>
      </c>
      <c r="S13" s="56" t="str">
        <f>IF(AND('Mapa Institucional 2024'!$Y$54="Muy Alta",'Mapa Institucional 2024'!$AA$54="Menor"),CONCATENATE("R8C",'Mapa Institucional 2024'!$O$54),"")</f>
        <v/>
      </c>
      <c r="T13" s="56" t="str">
        <f>IF(AND('Mapa Institucional 2024'!$Y$55="Muy Alta",'Mapa Institucional 2024'!$AA$55="Menor"),CONCATENATE("R8C",'Mapa Institucional 2024'!$O$55),"")</f>
        <v/>
      </c>
      <c r="U13" s="52" t="str">
        <f>IF(AND('Mapa Institucional 2024'!$Y$56="Muy Alta",'Mapa Institucional 2024'!$AA$56="Menor"),CONCATENATE("R8C",'Mapa Institucional 2024'!$O$56),"")</f>
        <v/>
      </c>
      <c r="V13" s="50" t="str">
        <f>IF(AND('Mapa Institucional 2024'!$Y$51="Muy Alta",'Mapa Institucional 2024'!$AA$51="Moderado"),CONCATENATE("R8C",'Mapa Institucional 2024'!$O$51),"")</f>
        <v/>
      </c>
      <c r="W13" s="51" t="str">
        <f>IF(AND('Mapa Institucional 2024'!$Y$52="Muy Alta",'Mapa Institucional 2024'!$AA$52="Moderado"),CONCATENATE("R8C",'Mapa Institucional 2024'!$O$52),"")</f>
        <v/>
      </c>
      <c r="X13" s="56" t="str">
        <f>IF(AND('Mapa Institucional 2024'!$Y$53="Muy Alta",'Mapa Institucional 2024'!$AA$53="Moderado"),CONCATENATE("R8C",'Mapa Institucional 2024'!$O$53),"")</f>
        <v/>
      </c>
      <c r="Y13" s="56" t="str">
        <f>IF(AND('Mapa Institucional 2024'!$Y$54="Muy Alta",'Mapa Institucional 2024'!$AA$54="Moderado"),CONCATENATE("R8C",'Mapa Institucional 2024'!$O$54),"")</f>
        <v/>
      </c>
      <c r="Z13" s="56" t="str">
        <f>IF(AND('Mapa Institucional 2024'!$Y$55="Muy Alta",'Mapa Institucional 2024'!$AA$55="Moderado"),CONCATENATE("R8C",'Mapa Institucional 2024'!$O$55),"")</f>
        <v/>
      </c>
      <c r="AA13" s="52" t="str">
        <f>IF(AND('Mapa Institucional 2024'!$Y$56="Muy Alta",'Mapa Institucional 2024'!$AA$56="Moderado"),CONCATENATE("R8C",'Mapa Institucional 2024'!$O$56),"")</f>
        <v/>
      </c>
      <c r="AB13" s="50" t="str">
        <f>IF(AND('Mapa Institucional 2024'!$Y$51="Muy Alta",'Mapa Institucional 2024'!$AA$51="Mayor"),CONCATENATE("R8C",'Mapa Institucional 2024'!$O$51),"")</f>
        <v/>
      </c>
      <c r="AC13" s="51" t="str">
        <f>IF(AND('Mapa Institucional 2024'!$Y$52="Muy Alta",'Mapa Institucional 2024'!$AA$52="Mayor"),CONCATENATE("R8C",'Mapa Institucional 2024'!$O$52),"")</f>
        <v/>
      </c>
      <c r="AD13" s="56" t="str">
        <f>IF(AND('Mapa Institucional 2024'!$Y$53="Muy Alta",'Mapa Institucional 2024'!$AA$53="Mayor"),CONCATENATE("R8C",'Mapa Institucional 2024'!$O$53),"")</f>
        <v/>
      </c>
      <c r="AE13" s="56" t="str">
        <f>IF(AND('Mapa Institucional 2024'!$Y$54="Muy Alta",'Mapa Institucional 2024'!$AA$54="Mayor"),CONCATENATE("R8C",'Mapa Institucional 2024'!$O$54),"")</f>
        <v/>
      </c>
      <c r="AF13" s="56" t="str">
        <f>IF(AND('Mapa Institucional 2024'!$Y$55="Muy Alta",'Mapa Institucional 2024'!$AA$55="Mayor"),CONCATENATE("R8C",'Mapa Institucional 2024'!$O$55),"")</f>
        <v/>
      </c>
      <c r="AG13" s="52" t="str">
        <f>IF(AND('Mapa Institucional 2024'!$Y$56="Muy Alta",'Mapa Institucional 2024'!$AA$56="Mayor"),CONCATENATE("R8C",'Mapa Institucional 2024'!$O$56),"")</f>
        <v/>
      </c>
      <c r="AH13" s="53" t="str">
        <f>IF(AND('Mapa Institucional 2024'!$Y$51="Muy Alta",'Mapa Institucional 2024'!$AA$51="Catastrófico"),CONCATENATE("R8C",'Mapa Institucional 2024'!$O$51),"")</f>
        <v/>
      </c>
      <c r="AI13" s="54" t="str">
        <f>IF(AND('Mapa Institucional 2024'!$Y$52="Muy Alta",'Mapa Institucional 2024'!$AA$52="Catastrófico"),CONCATENATE("R8C",'Mapa Institucional 2024'!$O$52),"")</f>
        <v/>
      </c>
      <c r="AJ13" s="54" t="str">
        <f>IF(AND('Mapa Institucional 2024'!$Y$53="Muy Alta",'Mapa Institucional 2024'!$AA$53="Catastrófico"),CONCATENATE("R8C",'Mapa Institucional 2024'!$O$53),"")</f>
        <v/>
      </c>
      <c r="AK13" s="54" t="str">
        <f>IF(AND('Mapa Institucional 2024'!$Y$54="Muy Alta",'Mapa Institucional 2024'!$AA$54="Catastrófico"),CONCATENATE("R8C",'Mapa Institucional 2024'!$O$54),"")</f>
        <v/>
      </c>
      <c r="AL13" s="54" t="str">
        <f>IF(AND('Mapa Institucional 2024'!$Y$55="Muy Alta",'Mapa Institucional 2024'!$AA$55="Catastrófico"),CONCATENATE("R8C",'Mapa Institucional 2024'!$O$55),"")</f>
        <v/>
      </c>
      <c r="AM13" s="55" t="str">
        <f>IF(AND('Mapa Institucional 2024'!$Y$56="Muy Alta",'Mapa Institucional 2024'!$AA$56="Catastrófico"),CONCATENATE("R8C",'Mapa Institucional 2024'!$O$56),"")</f>
        <v/>
      </c>
      <c r="AN13" s="82"/>
      <c r="AO13" s="464"/>
      <c r="AP13" s="465"/>
      <c r="AQ13" s="465"/>
      <c r="AR13" s="465"/>
      <c r="AS13" s="465"/>
      <c r="AT13" s="46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402"/>
      <c r="C14" s="402"/>
      <c r="D14" s="403"/>
      <c r="E14" s="443"/>
      <c r="F14" s="444"/>
      <c r="G14" s="444"/>
      <c r="H14" s="444"/>
      <c r="I14" s="445"/>
      <c r="J14" s="50" t="str">
        <f>IF(AND('Mapa Institucional 2024'!$Y$57="Muy Alta",'Mapa Institucional 2024'!$AA$57="Leve"),CONCATENATE("R9C",'Mapa Institucional 2024'!$O$57),"")</f>
        <v/>
      </c>
      <c r="K14" s="51" t="str">
        <f>IF(AND('Mapa Institucional 2024'!$Y$58="Muy Alta",'Mapa Institucional 2024'!$AA$58="Leve"),CONCATENATE("R9C",'Mapa Institucional 2024'!$O$58),"")</f>
        <v/>
      </c>
      <c r="L14" s="56" t="str">
        <f>IF(AND('Mapa Institucional 2024'!$Y$59="Muy Alta",'Mapa Institucional 2024'!$AA$59="Leve"),CONCATENATE("R9C",'Mapa Institucional 2024'!$O$59),"")</f>
        <v/>
      </c>
      <c r="M14" s="56" t="str">
        <f>IF(AND('Mapa Institucional 2024'!$Y$60="Muy Alta",'Mapa Institucional 2024'!$AA$60="Leve"),CONCATENATE("R9C",'Mapa Institucional 2024'!$O$60),"")</f>
        <v/>
      </c>
      <c r="N14" s="56" t="str">
        <f>IF(AND('Mapa Institucional 2024'!$Y$61="Muy Alta",'Mapa Institucional 2024'!$AA$61="Leve"),CONCATENATE("R9C",'Mapa Institucional 2024'!$O$61),"")</f>
        <v/>
      </c>
      <c r="O14" s="52" t="str">
        <f>IF(AND('Mapa Institucional 2024'!$Y$62="Muy Alta",'Mapa Institucional 2024'!$AA$62="Leve"),CONCATENATE("R9C",'Mapa Institucional 2024'!$O$62),"")</f>
        <v/>
      </c>
      <c r="P14" s="50" t="str">
        <f>IF(AND('Mapa Institucional 2024'!$Y$57="Muy Alta",'Mapa Institucional 2024'!$AA$57="Menor"),CONCATENATE("R9C",'Mapa Institucional 2024'!$O$57),"")</f>
        <v/>
      </c>
      <c r="Q14" s="51" t="str">
        <f>IF(AND('Mapa Institucional 2024'!$Y$58="Muy Alta",'Mapa Institucional 2024'!$AA$58="Menor"),CONCATENATE("R9C",'Mapa Institucional 2024'!$O$58),"")</f>
        <v/>
      </c>
      <c r="R14" s="56" t="str">
        <f>IF(AND('Mapa Institucional 2024'!$Y$59="Muy Alta",'Mapa Institucional 2024'!$AA$59="Menor"),CONCATENATE("R9C",'Mapa Institucional 2024'!$O$59),"")</f>
        <v/>
      </c>
      <c r="S14" s="56" t="str">
        <f>IF(AND('Mapa Institucional 2024'!$Y$60="Muy Alta",'Mapa Institucional 2024'!$AA$60="Menor"),CONCATENATE("R9C",'Mapa Institucional 2024'!$O$60),"")</f>
        <v/>
      </c>
      <c r="T14" s="56" t="str">
        <f>IF(AND('Mapa Institucional 2024'!$Y$61="Muy Alta",'Mapa Institucional 2024'!$AA$61="Menor"),CONCATENATE("R9C",'Mapa Institucional 2024'!$O$61),"")</f>
        <v/>
      </c>
      <c r="U14" s="52" t="str">
        <f>IF(AND('Mapa Institucional 2024'!$Y$62="Muy Alta",'Mapa Institucional 2024'!$AA$62="Menor"),CONCATENATE("R9C",'Mapa Institucional 2024'!$O$62),"")</f>
        <v/>
      </c>
      <c r="V14" s="50" t="str">
        <f>IF(AND('Mapa Institucional 2024'!$Y$57="Muy Alta",'Mapa Institucional 2024'!$AA$57="Moderado"),CONCATENATE("R9C",'Mapa Institucional 2024'!$O$57),"")</f>
        <v/>
      </c>
      <c r="W14" s="51" t="str">
        <f>IF(AND('Mapa Institucional 2024'!$Y$58="Muy Alta",'Mapa Institucional 2024'!$AA$58="Moderado"),CONCATENATE("R9C",'Mapa Institucional 2024'!$O$58),"")</f>
        <v/>
      </c>
      <c r="X14" s="56" t="str">
        <f>IF(AND('Mapa Institucional 2024'!$Y$59="Muy Alta",'Mapa Institucional 2024'!$AA$59="Moderado"),CONCATENATE("R9C",'Mapa Institucional 2024'!$O$59),"")</f>
        <v/>
      </c>
      <c r="Y14" s="56" t="str">
        <f>IF(AND('Mapa Institucional 2024'!$Y$60="Muy Alta",'Mapa Institucional 2024'!$AA$60="Moderado"),CONCATENATE("R9C",'Mapa Institucional 2024'!$O$60),"")</f>
        <v/>
      </c>
      <c r="Z14" s="56" t="str">
        <f>IF(AND('Mapa Institucional 2024'!$Y$61="Muy Alta",'Mapa Institucional 2024'!$AA$61="Moderado"),CONCATENATE("R9C",'Mapa Institucional 2024'!$O$61),"")</f>
        <v/>
      </c>
      <c r="AA14" s="52" t="str">
        <f>IF(AND('Mapa Institucional 2024'!$Y$62="Muy Alta",'Mapa Institucional 2024'!$AA$62="Moderado"),CONCATENATE("R9C",'Mapa Institucional 2024'!$O$62),"")</f>
        <v/>
      </c>
      <c r="AB14" s="50" t="str">
        <f>IF(AND('Mapa Institucional 2024'!$Y$57="Muy Alta",'Mapa Institucional 2024'!$AA$57="Mayor"),CONCATENATE("R9C",'Mapa Institucional 2024'!$O$57),"")</f>
        <v/>
      </c>
      <c r="AC14" s="51" t="str">
        <f>IF(AND('Mapa Institucional 2024'!$Y$58="Muy Alta",'Mapa Institucional 2024'!$AA$58="Mayor"),CONCATENATE("R9C",'Mapa Institucional 2024'!$O$58),"")</f>
        <v/>
      </c>
      <c r="AD14" s="56" t="str">
        <f>IF(AND('Mapa Institucional 2024'!$Y$59="Muy Alta",'Mapa Institucional 2024'!$AA$59="Mayor"),CONCATENATE("R9C",'Mapa Institucional 2024'!$O$59),"")</f>
        <v/>
      </c>
      <c r="AE14" s="56" t="str">
        <f>IF(AND('Mapa Institucional 2024'!$Y$60="Muy Alta",'Mapa Institucional 2024'!$AA$60="Mayor"),CONCATENATE("R9C",'Mapa Institucional 2024'!$O$60),"")</f>
        <v/>
      </c>
      <c r="AF14" s="56" t="str">
        <f>IF(AND('Mapa Institucional 2024'!$Y$61="Muy Alta",'Mapa Institucional 2024'!$AA$61="Mayor"),CONCATENATE("R9C",'Mapa Institucional 2024'!$O$61),"")</f>
        <v/>
      </c>
      <c r="AG14" s="52" t="str">
        <f>IF(AND('Mapa Institucional 2024'!$Y$62="Muy Alta",'Mapa Institucional 2024'!$AA$62="Mayor"),CONCATENATE("R9C",'Mapa Institucional 2024'!$O$62),"")</f>
        <v/>
      </c>
      <c r="AH14" s="53" t="str">
        <f>IF(AND('Mapa Institucional 2024'!$Y$57="Muy Alta",'Mapa Institucional 2024'!$AA$57="Catastrófico"),CONCATENATE("R9C",'Mapa Institucional 2024'!$O$57),"")</f>
        <v/>
      </c>
      <c r="AI14" s="54" t="str">
        <f>IF(AND('Mapa Institucional 2024'!$Y$58="Muy Alta",'Mapa Institucional 2024'!$AA$58="Catastrófico"),CONCATENATE("R9C",'Mapa Institucional 2024'!$O$58),"")</f>
        <v/>
      </c>
      <c r="AJ14" s="54" t="str">
        <f>IF(AND('Mapa Institucional 2024'!$Y$59="Muy Alta",'Mapa Institucional 2024'!$AA$59="Catastrófico"),CONCATENATE("R9C",'Mapa Institucional 2024'!$O$59),"")</f>
        <v/>
      </c>
      <c r="AK14" s="54" t="str">
        <f>IF(AND('Mapa Institucional 2024'!$Y$60="Muy Alta",'Mapa Institucional 2024'!$AA$60="Catastrófico"),CONCATENATE("R9C",'Mapa Institucional 2024'!$O$60),"")</f>
        <v/>
      </c>
      <c r="AL14" s="54" t="str">
        <f>IF(AND('Mapa Institucional 2024'!$Y$61="Muy Alta",'Mapa Institucional 2024'!$AA$61="Catastrófico"),CONCATENATE("R9C",'Mapa Institucional 2024'!$O$61),"")</f>
        <v/>
      </c>
      <c r="AM14" s="55" t="str">
        <f>IF(AND('Mapa Institucional 2024'!$Y$62="Muy Alta",'Mapa Institucional 2024'!$AA$62="Catastrófico"),CONCATENATE("R9C",'Mapa Institucional 2024'!$O$62),"")</f>
        <v/>
      </c>
      <c r="AN14" s="82"/>
      <c r="AO14" s="464"/>
      <c r="AP14" s="465"/>
      <c r="AQ14" s="465"/>
      <c r="AR14" s="465"/>
      <c r="AS14" s="465"/>
      <c r="AT14" s="466"/>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402"/>
      <c r="C15" s="402"/>
      <c r="D15" s="403"/>
      <c r="E15" s="446"/>
      <c r="F15" s="447"/>
      <c r="G15" s="447"/>
      <c r="H15" s="447"/>
      <c r="I15" s="448"/>
      <c r="J15" s="57" t="str">
        <f>IF(AND('Mapa Institucional 2024'!$Y$63="Muy Alta",'Mapa Institucional 2024'!$AA$63="Leve"),CONCATENATE("R10C",'Mapa Institucional 2024'!$O$63),"")</f>
        <v/>
      </c>
      <c r="K15" s="58" t="str">
        <f>IF(AND('Mapa Institucional 2024'!$Y$64="Muy Alta",'Mapa Institucional 2024'!$AA$64="Leve"),CONCATENATE("R10C",'Mapa Institucional 2024'!$O$64),"")</f>
        <v/>
      </c>
      <c r="L15" s="58" t="str">
        <f>IF(AND('Mapa Institucional 2024'!$Y$65="Muy Alta",'Mapa Institucional 2024'!$AA$65="Leve"),CONCATENATE("R10C",'Mapa Institucional 2024'!$O$65),"")</f>
        <v/>
      </c>
      <c r="M15" s="58" t="str">
        <f>IF(AND('Mapa Institucional 2024'!$Y$66="Muy Alta",'Mapa Institucional 2024'!$AA$66="Leve"),CONCATENATE("R10C",'Mapa Institucional 2024'!$O$66),"")</f>
        <v/>
      </c>
      <c r="N15" s="58" t="str">
        <f>IF(AND('Mapa Institucional 2024'!$Y$67="Muy Alta",'Mapa Institucional 2024'!$AA$67="Leve"),CONCATENATE("R10C",'Mapa Institucional 2024'!$O$67),"")</f>
        <v/>
      </c>
      <c r="O15" s="59" t="str">
        <f>IF(AND('Mapa Institucional 2024'!$Y$68="Muy Alta",'Mapa Institucional 2024'!$AA$68="Leve"),CONCATENATE("R10C",'Mapa Institucional 2024'!$O$68),"")</f>
        <v/>
      </c>
      <c r="P15" s="50" t="str">
        <f>IF(AND('Mapa Institucional 2024'!$Y$63="Muy Alta",'Mapa Institucional 2024'!$AA$63="Menor"),CONCATENATE("R10C",'Mapa Institucional 2024'!$O$63),"")</f>
        <v/>
      </c>
      <c r="Q15" s="51" t="str">
        <f>IF(AND('Mapa Institucional 2024'!$Y$64="Muy Alta",'Mapa Institucional 2024'!$AA$64="Menor"),CONCATENATE("R10C",'Mapa Institucional 2024'!$O$64),"")</f>
        <v/>
      </c>
      <c r="R15" s="51" t="str">
        <f>IF(AND('Mapa Institucional 2024'!$Y$65="Muy Alta",'Mapa Institucional 2024'!$AA$65="Menor"),CONCATENATE("R10C",'Mapa Institucional 2024'!$O$65),"")</f>
        <v/>
      </c>
      <c r="S15" s="51" t="str">
        <f>IF(AND('Mapa Institucional 2024'!$Y$66="Muy Alta",'Mapa Institucional 2024'!$AA$66="Menor"),CONCATENATE("R10C",'Mapa Institucional 2024'!$O$66),"")</f>
        <v/>
      </c>
      <c r="T15" s="51" t="str">
        <f>IF(AND('Mapa Institucional 2024'!$Y$67="Muy Alta",'Mapa Institucional 2024'!$AA$67="Menor"),CONCATENATE("R10C",'Mapa Institucional 2024'!$O$67),"")</f>
        <v/>
      </c>
      <c r="U15" s="52" t="str">
        <f>IF(AND('Mapa Institucional 2024'!$Y$68="Muy Alta",'Mapa Institucional 2024'!$AA$68="Menor"),CONCATENATE("R10C",'Mapa Institucional 2024'!$O$68),"")</f>
        <v/>
      </c>
      <c r="V15" s="57" t="str">
        <f>IF(AND('Mapa Institucional 2024'!$Y$63="Muy Alta",'Mapa Institucional 2024'!$AA$63="Moderado"),CONCATENATE("R10C",'Mapa Institucional 2024'!$O$63),"")</f>
        <v/>
      </c>
      <c r="W15" s="58" t="str">
        <f>IF(AND('Mapa Institucional 2024'!$Y$64="Muy Alta",'Mapa Institucional 2024'!$AA$64="Moderado"),CONCATENATE("R10C",'Mapa Institucional 2024'!$O$64),"")</f>
        <v/>
      </c>
      <c r="X15" s="58" t="str">
        <f>IF(AND('Mapa Institucional 2024'!$Y$65="Muy Alta",'Mapa Institucional 2024'!$AA$65="Moderado"),CONCATENATE("R10C",'Mapa Institucional 2024'!$O$65),"")</f>
        <v/>
      </c>
      <c r="Y15" s="58" t="str">
        <f>IF(AND('Mapa Institucional 2024'!$Y$66="Muy Alta",'Mapa Institucional 2024'!$AA$66="Moderado"),CONCATENATE("R10C",'Mapa Institucional 2024'!$O$66),"")</f>
        <v/>
      </c>
      <c r="Z15" s="58" t="str">
        <f>IF(AND('Mapa Institucional 2024'!$Y$67="Muy Alta",'Mapa Institucional 2024'!$AA$67="Moderado"),CONCATENATE("R10C",'Mapa Institucional 2024'!$O$67),"")</f>
        <v/>
      </c>
      <c r="AA15" s="59" t="str">
        <f>IF(AND('Mapa Institucional 2024'!$Y$68="Muy Alta",'Mapa Institucional 2024'!$AA$68="Moderado"),CONCATENATE("R10C",'Mapa Institucional 2024'!$O$68),"")</f>
        <v/>
      </c>
      <c r="AB15" s="50" t="str">
        <f>IF(AND('Mapa Institucional 2024'!$Y$63="Muy Alta",'Mapa Institucional 2024'!$AA$63="Mayor"),CONCATENATE("R10C",'Mapa Institucional 2024'!$O$63),"")</f>
        <v/>
      </c>
      <c r="AC15" s="51" t="str">
        <f>IF(AND('Mapa Institucional 2024'!$Y$64="Muy Alta",'Mapa Institucional 2024'!$AA$64="Mayor"),CONCATENATE("R10C",'Mapa Institucional 2024'!$O$64),"")</f>
        <v/>
      </c>
      <c r="AD15" s="51" t="str">
        <f>IF(AND('Mapa Institucional 2024'!$Y$65="Muy Alta",'Mapa Institucional 2024'!$AA$65="Mayor"),CONCATENATE("R10C",'Mapa Institucional 2024'!$O$65),"")</f>
        <v/>
      </c>
      <c r="AE15" s="51" t="str">
        <f>IF(AND('Mapa Institucional 2024'!$Y$66="Muy Alta",'Mapa Institucional 2024'!$AA$66="Mayor"),CONCATENATE("R10C",'Mapa Institucional 2024'!$O$66),"")</f>
        <v/>
      </c>
      <c r="AF15" s="51" t="str">
        <f>IF(AND('Mapa Institucional 2024'!$Y$67="Muy Alta",'Mapa Institucional 2024'!$AA$67="Mayor"),CONCATENATE("R10C",'Mapa Institucional 2024'!$O$67),"")</f>
        <v/>
      </c>
      <c r="AG15" s="52" t="str">
        <f>IF(AND('Mapa Institucional 2024'!$Y$68="Muy Alta",'Mapa Institucional 2024'!$AA$68="Mayor"),CONCATENATE("R10C",'Mapa Institucional 2024'!$O$68),"")</f>
        <v/>
      </c>
      <c r="AH15" s="60" t="str">
        <f>IF(AND('Mapa Institucional 2024'!$Y$63="Muy Alta",'Mapa Institucional 2024'!$AA$63="Catastrófico"),CONCATENATE("R10C",'Mapa Institucional 2024'!$O$63),"")</f>
        <v/>
      </c>
      <c r="AI15" s="61" t="str">
        <f>IF(AND('Mapa Institucional 2024'!$Y$64="Muy Alta",'Mapa Institucional 2024'!$AA$64="Catastrófico"),CONCATENATE("R10C",'Mapa Institucional 2024'!$O$64),"")</f>
        <v/>
      </c>
      <c r="AJ15" s="61" t="str">
        <f>IF(AND('Mapa Institucional 2024'!$Y$65="Muy Alta",'Mapa Institucional 2024'!$AA$65="Catastrófico"),CONCATENATE("R10C",'Mapa Institucional 2024'!$O$65),"")</f>
        <v/>
      </c>
      <c r="AK15" s="61" t="str">
        <f>IF(AND('Mapa Institucional 2024'!$Y$66="Muy Alta",'Mapa Institucional 2024'!$AA$66="Catastrófico"),CONCATENATE("R10C",'Mapa Institucional 2024'!$O$66),"")</f>
        <v/>
      </c>
      <c r="AL15" s="61" t="str">
        <f>IF(AND('Mapa Institucional 2024'!$Y$67="Muy Alta",'Mapa Institucional 2024'!$AA$67="Catastrófico"),CONCATENATE("R10C",'Mapa Institucional 2024'!$O$67),"")</f>
        <v/>
      </c>
      <c r="AM15" s="62" t="str">
        <f>IF(AND('Mapa Institucional 2024'!$Y$68="Muy Alta",'Mapa Institucional 2024'!$AA$68="Catastrófico"),CONCATENATE("R10C",'Mapa Institucional 2024'!$O$68),"")</f>
        <v/>
      </c>
      <c r="AN15" s="82"/>
      <c r="AO15" s="467"/>
      <c r="AP15" s="468"/>
      <c r="AQ15" s="468"/>
      <c r="AR15" s="468"/>
      <c r="AS15" s="468"/>
      <c r="AT15" s="469"/>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402"/>
      <c r="C16" s="402"/>
      <c r="D16" s="403"/>
      <c r="E16" s="440" t="s">
        <v>115</v>
      </c>
      <c r="F16" s="441"/>
      <c r="G16" s="441"/>
      <c r="H16" s="441"/>
      <c r="I16" s="441"/>
      <c r="J16" s="63" t="str">
        <f ca="1">IF(AND('Mapa Institucional 2024'!$Y$9="Alta",'Mapa Institucional 2024'!$AA$9="Leve"),CONCATENATE("R1C",'Mapa Institucional 2024'!$O$9),"")</f>
        <v/>
      </c>
      <c r="K16" s="64" t="str">
        <f>IF(AND('Mapa Institucional 2024'!$Y$10="Alta",'Mapa Institucional 2024'!$AA$10="Leve"),CONCATENATE("R1C",'Mapa Institucional 2024'!$O$10),"")</f>
        <v/>
      </c>
      <c r="L16" s="64" t="str">
        <f>IF(AND('Mapa Institucional 2024'!$Y$11="Alta",'Mapa Institucional 2024'!$AA$11="Leve"),CONCATENATE("R1C",'Mapa Institucional 2024'!$O$11),"")</f>
        <v/>
      </c>
      <c r="M16" s="64" t="str">
        <f>IF(AND('Mapa Institucional 2024'!$Y$12="Alta",'Mapa Institucional 2024'!$AA$12="Leve"),CONCATENATE("R1C",'Mapa Institucional 2024'!$O$12),"")</f>
        <v/>
      </c>
      <c r="N16" s="64" t="str">
        <f>IF(AND('Mapa Institucional 2024'!$Y$13="Alta",'Mapa Institucional 2024'!$AA$13="Leve"),CONCATENATE("R1C",'Mapa Institucional 2024'!$O$13),"")</f>
        <v/>
      </c>
      <c r="O16" s="65" t="str">
        <f>IF(AND('Mapa Institucional 2024'!$Y$14="Alta",'Mapa Institucional 2024'!$AA$14="Leve"),CONCATENATE("R1C",'Mapa Institucional 2024'!$O$14),"")</f>
        <v/>
      </c>
      <c r="P16" s="63" t="str">
        <f ca="1">IF(AND('Mapa Institucional 2024'!$Y$9="Alta",'Mapa Institucional 2024'!$AA$9="Menor"),CONCATENATE("R1C",'Mapa Institucional 2024'!$O$9),"")</f>
        <v/>
      </c>
      <c r="Q16" s="64" t="str">
        <f>IF(AND('Mapa Institucional 2024'!$Y$10="Alta",'Mapa Institucional 2024'!$AA$10="Menor"),CONCATENATE("R1C",'Mapa Institucional 2024'!$O$10),"")</f>
        <v/>
      </c>
      <c r="R16" s="64" t="str">
        <f>IF(AND('Mapa Institucional 2024'!$Y$11="Alta",'Mapa Institucional 2024'!$AA$11="Menor"),CONCATENATE("R1C",'Mapa Institucional 2024'!$O$11),"")</f>
        <v/>
      </c>
      <c r="S16" s="64" t="str">
        <f>IF(AND('Mapa Institucional 2024'!$Y$12="Alta",'Mapa Institucional 2024'!$AA$12="Menor"),CONCATENATE("R1C",'Mapa Institucional 2024'!$O$12),"")</f>
        <v/>
      </c>
      <c r="T16" s="64" t="str">
        <f>IF(AND('Mapa Institucional 2024'!$Y$13="Alta",'Mapa Institucional 2024'!$AA$13="Menor"),CONCATENATE("R1C",'Mapa Institucional 2024'!$O$13),"")</f>
        <v/>
      </c>
      <c r="U16" s="65" t="str">
        <f>IF(AND('Mapa Institucional 2024'!$Y$14="Alta",'Mapa Institucional 2024'!$AA$14="Menor"),CONCATENATE("R1C",'Mapa Institucional 2024'!$O$14),"")</f>
        <v/>
      </c>
      <c r="V16" s="44" t="str">
        <f ca="1">IF(AND('Mapa Institucional 2024'!$Y$9="Alta",'Mapa Institucional 2024'!$AA$9="Moderado"),CONCATENATE("R1C",'Mapa Institucional 2024'!$O$9),"")</f>
        <v/>
      </c>
      <c r="W16" s="45" t="str">
        <f>IF(AND('Mapa Institucional 2024'!$Y$10="Alta",'Mapa Institucional 2024'!$AA$10="Moderado"),CONCATENATE("R1C",'Mapa Institucional 2024'!$O$10),"")</f>
        <v/>
      </c>
      <c r="X16" s="45" t="str">
        <f>IF(AND('Mapa Institucional 2024'!$Y$11="Alta",'Mapa Institucional 2024'!$AA$11="Moderado"),CONCATENATE("R1C",'Mapa Institucional 2024'!$O$11),"")</f>
        <v/>
      </c>
      <c r="Y16" s="45" t="str">
        <f>IF(AND('Mapa Institucional 2024'!$Y$12="Alta",'Mapa Institucional 2024'!$AA$12="Moderado"),CONCATENATE("R1C",'Mapa Institucional 2024'!$O$12),"")</f>
        <v/>
      </c>
      <c r="Z16" s="45" t="str">
        <f>IF(AND('Mapa Institucional 2024'!$Y$13="Alta",'Mapa Institucional 2024'!$AA$13="Moderado"),CONCATENATE("R1C",'Mapa Institucional 2024'!$O$13),"")</f>
        <v/>
      </c>
      <c r="AA16" s="46" t="str">
        <f>IF(AND('Mapa Institucional 2024'!$Y$14="Alta",'Mapa Institucional 2024'!$AA$14="Moderado"),CONCATENATE("R1C",'Mapa Institucional 2024'!$O$14),"")</f>
        <v/>
      </c>
      <c r="AB16" s="44" t="str">
        <f ca="1">IF(AND('Mapa Institucional 2024'!$Y$9="Alta",'Mapa Institucional 2024'!$AA$9="Mayor"),CONCATENATE("R1C",'Mapa Institucional 2024'!$O$9),"")</f>
        <v/>
      </c>
      <c r="AC16" s="45" t="str">
        <f>IF(AND('Mapa Institucional 2024'!$Y$10="Alta",'Mapa Institucional 2024'!$AA$10="Mayor"),CONCATENATE("R1C",'Mapa Institucional 2024'!$O$10),"")</f>
        <v/>
      </c>
      <c r="AD16" s="45" t="str">
        <f>IF(AND('Mapa Institucional 2024'!$Y$11="Alta",'Mapa Institucional 2024'!$AA$11="Mayor"),CONCATENATE("R1C",'Mapa Institucional 2024'!$O$11),"")</f>
        <v/>
      </c>
      <c r="AE16" s="45" t="str">
        <f>IF(AND('Mapa Institucional 2024'!$Y$12="Alta",'Mapa Institucional 2024'!$AA$12="Mayor"),CONCATENATE("R1C",'Mapa Institucional 2024'!$O$12),"")</f>
        <v/>
      </c>
      <c r="AF16" s="45" t="str">
        <f>IF(AND('Mapa Institucional 2024'!$Y$13="Alta",'Mapa Institucional 2024'!$AA$13="Mayor"),CONCATENATE("R1C",'Mapa Institucional 2024'!$O$13),"")</f>
        <v/>
      </c>
      <c r="AG16" s="46" t="str">
        <f>IF(AND('Mapa Institucional 2024'!$Y$14="Alta",'Mapa Institucional 2024'!$AA$14="Mayor"),CONCATENATE("R1C",'Mapa Institucional 2024'!$O$14),"")</f>
        <v/>
      </c>
      <c r="AH16" s="47" t="str">
        <f ca="1">IF(AND('Mapa Institucional 2024'!$Y$9="Alta",'Mapa Institucional 2024'!$AA$9="Catastrófico"),CONCATENATE("R1C",'Mapa Institucional 2024'!$O$9),"")</f>
        <v/>
      </c>
      <c r="AI16" s="48" t="str">
        <f>IF(AND('Mapa Institucional 2024'!$Y$10="Alta",'Mapa Institucional 2024'!$AA$10="Catastrófico"),CONCATENATE("R1C",'Mapa Institucional 2024'!$O$10),"")</f>
        <v/>
      </c>
      <c r="AJ16" s="48" t="str">
        <f>IF(AND('Mapa Institucional 2024'!$Y$11="Alta",'Mapa Institucional 2024'!$AA$11="Catastrófico"),CONCATENATE("R1C",'Mapa Institucional 2024'!$O$11),"")</f>
        <v/>
      </c>
      <c r="AK16" s="48" t="str">
        <f>IF(AND('Mapa Institucional 2024'!$Y$12="Alta",'Mapa Institucional 2024'!$AA$12="Catastrófico"),CONCATENATE("R1C",'Mapa Institucional 2024'!$O$12),"")</f>
        <v/>
      </c>
      <c r="AL16" s="48" t="str">
        <f>IF(AND('Mapa Institucional 2024'!$Y$13="Alta",'Mapa Institucional 2024'!$AA$13="Catastrófico"),CONCATENATE("R1C",'Mapa Institucional 2024'!$O$13),"")</f>
        <v/>
      </c>
      <c r="AM16" s="49" t="str">
        <f>IF(AND('Mapa Institucional 2024'!$Y$14="Alta",'Mapa Institucional 2024'!$AA$14="Catastrófico"),CONCATENATE("R1C",'Mapa Institucional 2024'!$O$14),"")</f>
        <v/>
      </c>
      <c r="AN16" s="82"/>
      <c r="AO16" s="450" t="s">
        <v>80</v>
      </c>
      <c r="AP16" s="451"/>
      <c r="AQ16" s="451"/>
      <c r="AR16" s="451"/>
      <c r="AS16" s="451"/>
      <c r="AT16" s="45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402"/>
      <c r="C17" s="402"/>
      <c r="D17" s="403"/>
      <c r="E17" s="459"/>
      <c r="F17" s="460"/>
      <c r="G17" s="460"/>
      <c r="H17" s="460"/>
      <c r="I17" s="460"/>
      <c r="J17" s="66" t="str">
        <f ca="1">IF(AND('Mapa Institucional 2024'!$Y$15="Alta",'Mapa Institucional 2024'!$AA$15="Leve"),CONCATENATE("R2C",'Mapa Institucional 2024'!$O$15),"")</f>
        <v/>
      </c>
      <c r="K17" s="67" t="str">
        <f>IF(AND('Mapa Institucional 2024'!$Y$16="Alta",'Mapa Institucional 2024'!$AA$16="Leve"),CONCATENATE("R2C",'Mapa Institucional 2024'!$O$16),"")</f>
        <v/>
      </c>
      <c r="L17" s="67" t="str">
        <f>IF(AND('Mapa Institucional 2024'!$Y$17="Alta",'Mapa Institucional 2024'!$AA$17="Leve"),CONCATENATE("R2C",'Mapa Institucional 2024'!$O$17),"")</f>
        <v/>
      </c>
      <c r="M17" s="67" t="str">
        <f>IF(AND('Mapa Institucional 2024'!$Y$18="Alta",'Mapa Institucional 2024'!$AA$18="Leve"),CONCATENATE("R2C",'Mapa Institucional 2024'!$O$18),"")</f>
        <v/>
      </c>
      <c r="N17" s="67" t="str">
        <f>IF(AND('Mapa Institucional 2024'!$Y$19="Alta",'Mapa Institucional 2024'!$AA$19="Leve"),CONCATENATE("R2C",'Mapa Institucional 2024'!$O$19),"")</f>
        <v/>
      </c>
      <c r="O17" s="68" t="str">
        <f>IF(AND('Mapa Institucional 2024'!$Y$20="Alta",'Mapa Institucional 2024'!$AA$20="Leve"),CONCATENATE("R2C",'Mapa Institucional 2024'!$O$20),"")</f>
        <v/>
      </c>
      <c r="P17" s="66" t="str">
        <f ca="1">IF(AND('Mapa Institucional 2024'!$Y$15="Alta",'Mapa Institucional 2024'!$AA$15="Menor"),CONCATENATE("R2C",'Mapa Institucional 2024'!$O$15),"")</f>
        <v/>
      </c>
      <c r="Q17" s="67" t="str">
        <f>IF(AND('Mapa Institucional 2024'!$Y$16="Alta",'Mapa Institucional 2024'!$AA$16="Menor"),CONCATENATE("R2C",'Mapa Institucional 2024'!$O$16),"")</f>
        <v/>
      </c>
      <c r="R17" s="67" t="str">
        <f>IF(AND('Mapa Institucional 2024'!$Y$17="Alta",'Mapa Institucional 2024'!$AA$17="Menor"),CONCATENATE("R2C",'Mapa Institucional 2024'!$O$17),"")</f>
        <v/>
      </c>
      <c r="S17" s="67" t="str">
        <f>IF(AND('Mapa Institucional 2024'!$Y$18="Alta",'Mapa Institucional 2024'!$AA$18="Menor"),CONCATENATE("R2C",'Mapa Institucional 2024'!$O$18),"")</f>
        <v/>
      </c>
      <c r="T17" s="67" t="str">
        <f>IF(AND('Mapa Institucional 2024'!$Y$19="Alta",'Mapa Institucional 2024'!$AA$19="Menor"),CONCATENATE("R2C",'Mapa Institucional 2024'!$O$19),"")</f>
        <v/>
      </c>
      <c r="U17" s="68" t="str">
        <f>IF(AND('Mapa Institucional 2024'!$Y$20="Alta",'Mapa Institucional 2024'!$AA$20="Menor"),CONCATENATE("R2C",'Mapa Institucional 2024'!$O$20),"")</f>
        <v/>
      </c>
      <c r="V17" s="50" t="str">
        <f ca="1">IF(AND('Mapa Institucional 2024'!$Y$15="Alta",'Mapa Institucional 2024'!$AA$15="Moderado"),CONCATENATE("R2C",'Mapa Institucional 2024'!$O$15),"")</f>
        <v/>
      </c>
      <c r="W17" s="51" t="str">
        <f>IF(AND('Mapa Institucional 2024'!$Y$16="Alta",'Mapa Institucional 2024'!$AA$16="Moderado"),CONCATENATE("R2C",'Mapa Institucional 2024'!$O$16),"")</f>
        <v/>
      </c>
      <c r="X17" s="51" t="str">
        <f>IF(AND('Mapa Institucional 2024'!$Y$17="Alta",'Mapa Institucional 2024'!$AA$17="Moderado"),CONCATENATE("R2C",'Mapa Institucional 2024'!$O$17),"")</f>
        <v/>
      </c>
      <c r="Y17" s="51" t="str">
        <f>IF(AND('Mapa Institucional 2024'!$Y$18="Alta",'Mapa Institucional 2024'!$AA$18="Moderado"),CONCATENATE("R2C",'Mapa Institucional 2024'!$O$18),"")</f>
        <v/>
      </c>
      <c r="Z17" s="51" t="str">
        <f>IF(AND('Mapa Institucional 2024'!$Y$19="Alta",'Mapa Institucional 2024'!$AA$19="Moderado"),CONCATENATE("R2C",'Mapa Institucional 2024'!$O$19),"")</f>
        <v/>
      </c>
      <c r="AA17" s="52" t="str">
        <f>IF(AND('Mapa Institucional 2024'!$Y$20="Alta",'Mapa Institucional 2024'!$AA$20="Moderado"),CONCATENATE("R2C",'Mapa Institucional 2024'!$O$20),"")</f>
        <v/>
      </c>
      <c r="AB17" s="50" t="str">
        <f ca="1">IF(AND('Mapa Institucional 2024'!$Y$15="Alta",'Mapa Institucional 2024'!$AA$15="Mayor"),CONCATENATE("R2C",'Mapa Institucional 2024'!$O$15),"")</f>
        <v/>
      </c>
      <c r="AC17" s="51" t="str">
        <f>IF(AND('Mapa Institucional 2024'!$Y$16="Alta",'Mapa Institucional 2024'!$AA$16="Mayor"),CONCATENATE("R2C",'Mapa Institucional 2024'!$O$16),"")</f>
        <v/>
      </c>
      <c r="AD17" s="51" t="str">
        <f>IF(AND('Mapa Institucional 2024'!$Y$17="Alta",'Mapa Institucional 2024'!$AA$17="Mayor"),CONCATENATE("R2C",'Mapa Institucional 2024'!$O$17),"")</f>
        <v/>
      </c>
      <c r="AE17" s="51" t="str">
        <f>IF(AND('Mapa Institucional 2024'!$Y$18="Alta",'Mapa Institucional 2024'!$AA$18="Mayor"),CONCATENATE("R2C",'Mapa Institucional 2024'!$O$18),"")</f>
        <v/>
      </c>
      <c r="AF17" s="51" t="str">
        <f>IF(AND('Mapa Institucional 2024'!$Y$19="Alta",'Mapa Institucional 2024'!$AA$19="Mayor"),CONCATENATE("R2C",'Mapa Institucional 2024'!$O$19),"")</f>
        <v/>
      </c>
      <c r="AG17" s="52" t="str">
        <f>IF(AND('Mapa Institucional 2024'!$Y$20="Alta",'Mapa Institucional 2024'!$AA$20="Mayor"),CONCATENATE("R2C",'Mapa Institucional 2024'!$O$20),"")</f>
        <v/>
      </c>
      <c r="AH17" s="53" t="str">
        <f ca="1">IF(AND('Mapa Institucional 2024'!$Y$15="Alta",'Mapa Institucional 2024'!$AA$15="Catastrófico"),CONCATENATE("R2C",'Mapa Institucional 2024'!$O$15),"")</f>
        <v/>
      </c>
      <c r="AI17" s="54" t="str">
        <f>IF(AND('Mapa Institucional 2024'!$Y$16="Alta",'Mapa Institucional 2024'!$AA$16="Catastrófico"),CONCATENATE("R2C",'Mapa Institucional 2024'!$O$16),"")</f>
        <v/>
      </c>
      <c r="AJ17" s="54" t="str">
        <f>IF(AND('Mapa Institucional 2024'!$Y$17="Alta",'Mapa Institucional 2024'!$AA$17="Catastrófico"),CONCATENATE("R2C",'Mapa Institucional 2024'!$O$17),"")</f>
        <v/>
      </c>
      <c r="AK17" s="54" t="str">
        <f>IF(AND('Mapa Institucional 2024'!$Y$18="Alta",'Mapa Institucional 2024'!$AA$18="Catastrófico"),CONCATENATE("R2C",'Mapa Institucional 2024'!$O$18),"")</f>
        <v/>
      </c>
      <c r="AL17" s="54" t="str">
        <f>IF(AND('Mapa Institucional 2024'!$Y$19="Alta",'Mapa Institucional 2024'!$AA$19="Catastrófico"),CONCATENATE("R2C",'Mapa Institucional 2024'!$O$19),"")</f>
        <v/>
      </c>
      <c r="AM17" s="55" t="str">
        <f>IF(AND('Mapa Institucional 2024'!$Y$20="Alta",'Mapa Institucional 2024'!$AA$20="Catastrófico"),CONCATENATE("R2C",'Mapa Institucional 2024'!$O$20),"")</f>
        <v/>
      </c>
      <c r="AN17" s="82"/>
      <c r="AO17" s="453"/>
      <c r="AP17" s="454"/>
      <c r="AQ17" s="454"/>
      <c r="AR17" s="454"/>
      <c r="AS17" s="454"/>
      <c r="AT17" s="45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402"/>
      <c r="C18" s="402"/>
      <c r="D18" s="403"/>
      <c r="E18" s="443"/>
      <c r="F18" s="444"/>
      <c r="G18" s="444"/>
      <c r="H18" s="444"/>
      <c r="I18" s="460"/>
      <c r="J18" s="66" t="str">
        <f>IF(AND('Mapa Institucional 2024'!$Y$21="Alta",'Mapa Institucional 2024'!$AA$21="Leve"),CONCATENATE("R3C",'Mapa Institucional 2024'!$O$21),"")</f>
        <v/>
      </c>
      <c r="K18" s="67" t="str">
        <f>IF(AND('Mapa Institucional 2024'!$Y$22="Alta",'Mapa Institucional 2024'!$AA$22="Leve"),CONCATENATE("R3C",'Mapa Institucional 2024'!$O$22),"")</f>
        <v/>
      </c>
      <c r="L18" s="67" t="str">
        <f>IF(AND('Mapa Institucional 2024'!$Y$23="Alta",'Mapa Institucional 2024'!$AA$23="Leve"),CONCATENATE("R3C",'Mapa Institucional 2024'!$O$23),"")</f>
        <v/>
      </c>
      <c r="M18" s="67" t="str">
        <f>IF(AND('Mapa Institucional 2024'!$Y$24="Alta",'Mapa Institucional 2024'!$AA$24="Leve"),CONCATENATE("R3C",'Mapa Institucional 2024'!$O$24),"")</f>
        <v/>
      </c>
      <c r="N18" s="67" t="str">
        <f>IF(AND('Mapa Institucional 2024'!$Y$25="Alta",'Mapa Institucional 2024'!$AA$25="Leve"),CONCATENATE("R3C",'Mapa Institucional 2024'!$O$25),"")</f>
        <v/>
      </c>
      <c r="O18" s="68" t="str">
        <f>IF(AND('Mapa Institucional 2024'!$Y$26="Alta",'Mapa Institucional 2024'!$AA$26="Leve"),CONCATENATE("R3C",'Mapa Institucional 2024'!$O$26),"")</f>
        <v/>
      </c>
      <c r="P18" s="66" t="str">
        <f>IF(AND('Mapa Institucional 2024'!$Y$21="Alta",'Mapa Institucional 2024'!$AA$21="Menor"),CONCATENATE("R3C",'Mapa Institucional 2024'!$O$21),"")</f>
        <v/>
      </c>
      <c r="Q18" s="67" t="str">
        <f>IF(AND('Mapa Institucional 2024'!$Y$22="Alta",'Mapa Institucional 2024'!$AA$22="Menor"),CONCATENATE("R3C",'Mapa Institucional 2024'!$O$22),"")</f>
        <v/>
      </c>
      <c r="R18" s="67" t="str">
        <f>IF(AND('Mapa Institucional 2024'!$Y$23="Alta",'Mapa Institucional 2024'!$AA$23="Menor"),CONCATENATE("R3C",'Mapa Institucional 2024'!$O$23),"")</f>
        <v/>
      </c>
      <c r="S18" s="67" t="str">
        <f>IF(AND('Mapa Institucional 2024'!$Y$24="Alta",'Mapa Institucional 2024'!$AA$24="Menor"),CONCATENATE("R3C",'Mapa Institucional 2024'!$O$24),"")</f>
        <v/>
      </c>
      <c r="T18" s="67" t="str">
        <f>IF(AND('Mapa Institucional 2024'!$Y$25="Alta",'Mapa Institucional 2024'!$AA$25="Menor"),CONCATENATE("R3C",'Mapa Institucional 2024'!$O$25),"")</f>
        <v/>
      </c>
      <c r="U18" s="68" t="str">
        <f>IF(AND('Mapa Institucional 2024'!$Y$26="Alta",'Mapa Institucional 2024'!$AA$26="Menor"),CONCATENATE("R3C",'Mapa Institucional 2024'!$O$26),"")</f>
        <v/>
      </c>
      <c r="V18" s="50" t="str">
        <f>IF(AND('Mapa Institucional 2024'!$Y$21="Alta",'Mapa Institucional 2024'!$AA$21="Moderado"),CONCATENATE("R3C",'Mapa Institucional 2024'!$O$21),"")</f>
        <v/>
      </c>
      <c r="W18" s="51" t="str">
        <f>IF(AND('Mapa Institucional 2024'!$Y$22="Alta",'Mapa Institucional 2024'!$AA$22="Moderado"),CONCATENATE("R3C",'Mapa Institucional 2024'!$O$22),"")</f>
        <v/>
      </c>
      <c r="X18" s="51" t="str">
        <f>IF(AND('Mapa Institucional 2024'!$Y$23="Alta",'Mapa Institucional 2024'!$AA$23="Moderado"),CONCATENATE("R3C",'Mapa Institucional 2024'!$O$23),"")</f>
        <v/>
      </c>
      <c r="Y18" s="51" t="str">
        <f>IF(AND('Mapa Institucional 2024'!$Y$24="Alta",'Mapa Institucional 2024'!$AA$24="Moderado"),CONCATENATE("R3C",'Mapa Institucional 2024'!$O$24),"")</f>
        <v/>
      </c>
      <c r="Z18" s="51" t="str">
        <f>IF(AND('Mapa Institucional 2024'!$Y$25="Alta",'Mapa Institucional 2024'!$AA$25="Moderado"),CONCATENATE("R3C",'Mapa Institucional 2024'!$O$25),"")</f>
        <v/>
      </c>
      <c r="AA18" s="52" t="str">
        <f>IF(AND('Mapa Institucional 2024'!$Y$26="Alta",'Mapa Institucional 2024'!$AA$26="Moderado"),CONCATENATE("R3C",'Mapa Institucional 2024'!$O$26),"")</f>
        <v/>
      </c>
      <c r="AB18" s="50" t="str">
        <f>IF(AND('Mapa Institucional 2024'!$Y$21="Alta",'Mapa Institucional 2024'!$AA$21="Mayor"),CONCATENATE("R3C",'Mapa Institucional 2024'!$O$21),"")</f>
        <v/>
      </c>
      <c r="AC18" s="51" t="str">
        <f>IF(AND('Mapa Institucional 2024'!$Y$22="Alta",'Mapa Institucional 2024'!$AA$22="Mayor"),CONCATENATE("R3C",'Mapa Institucional 2024'!$O$22),"")</f>
        <v/>
      </c>
      <c r="AD18" s="51" t="str">
        <f>IF(AND('Mapa Institucional 2024'!$Y$23="Alta",'Mapa Institucional 2024'!$AA$23="Mayor"),CONCATENATE("R3C",'Mapa Institucional 2024'!$O$23),"")</f>
        <v/>
      </c>
      <c r="AE18" s="51" t="str">
        <f>IF(AND('Mapa Institucional 2024'!$Y$24="Alta",'Mapa Institucional 2024'!$AA$24="Mayor"),CONCATENATE("R3C",'Mapa Institucional 2024'!$O$24),"")</f>
        <v/>
      </c>
      <c r="AF18" s="51" t="str">
        <f>IF(AND('Mapa Institucional 2024'!$Y$25="Alta",'Mapa Institucional 2024'!$AA$25="Mayor"),CONCATENATE("R3C",'Mapa Institucional 2024'!$O$25),"")</f>
        <v/>
      </c>
      <c r="AG18" s="52" t="str">
        <f>IF(AND('Mapa Institucional 2024'!$Y$26="Alta",'Mapa Institucional 2024'!$AA$26="Mayor"),CONCATENATE("R3C",'Mapa Institucional 2024'!$O$26),"")</f>
        <v/>
      </c>
      <c r="AH18" s="53" t="str">
        <f>IF(AND('Mapa Institucional 2024'!$Y$21="Alta",'Mapa Institucional 2024'!$AA$21="Catastrófico"),CONCATENATE("R3C",'Mapa Institucional 2024'!$O$21),"")</f>
        <v/>
      </c>
      <c r="AI18" s="54" t="str">
        <f>IF(AND('Mapa Institucional 2024'!$Y$22="Alta",'Mapa Institucional 2024'!$AA$22="Catastrófico"),CONCATENATE("R3C",'Mapa Institucional 2024'!$O$22),"")</f>
        <v/>
      </c>
      <c r="AJ18" s="54" t="str">
        <f>IF(AND('Mapa Institucional 2024'!$Y$23="Alta",'Mapa Institucional 2024'!$AA$23="Catastrófico"),CONCATENATE("R3C",'Mapa Institucional 2024'!$O$23),"")</f>
        <v/>
      </c>
      <c r="AK18" s="54" t="str">
        <f>IF(AND('Mapa Institucional 2024'!$Y$24="Alta",'Mapa Institucional 2024'!$AA$24="Catastrófico"),CONCATENATE("R3C",'Mapa Institucional 2024'!$O$24),"")</f>
        <v/>
      </c>
      <c r="AL18" s="54" t="str">
        <f>IF(AND('Mapa Institucional 2024'!$Y$25="Alta",'Mapa Institucional 2024'!$AA$25="Catastrófico"),CONCATENATE("R3C",'Mapa Institucional 2024'!$O$25),"")</f>
        <v/>
      </c>
      <c r="AM18" s="55" t="str">
        <f>IF(AND('Mapa Institucional 2024'!$Y$26="Alta",'Mapa Institucional 2024'!$AA$26="Catastrófico"),CONCATENATE("R3C",'Mapa Institucional 2024'!$O$26),"")</f>
        <v/>
      </c>
      <c r="AN18" s="82"/>
      <c r="AO18" s="453"/>
      <c r="AP18" s="454"/>
      <c r="AQ18" s="454"/>
      <c r="AR18" s="454"/>
      <c r="AS18" s="454"/>
      <c r="AT18" s="45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402"/>
      <c r="C19" s="402"/>
      <c r="D19" s="403"/>
      <c r="E19" s="443"/>
      <c r="F19" s="444"/>
      <c r="G19" s="444"/>
      <c r="H19" s="444"/>
      <c r="I19" s="460"/>
      <c r="J19" s="66" t="str">
        <f>IF(AND('Mapa Institucional 2024'!$Y$27="Alta",'Mapa Institucional 2024'!$AA$27="Leve"),CONCATENATE("R4C",'Mapa Institucional 2024'!$O$27),"")</f>
        <v/>
      </c>
      <c r="K19" s="67" t="str">
        <f>IF(AND('Mapa Institucional 2024'!$Y$28="Alta",'Mapa Institucional 2024'!$AA$28="Leve"),CONCATENATE("R4C",'Mapa Institucional 2024'!$O$28),"")</f>
        <v/>
      </c>
      <c r="L19" s="67" t="str">
        <f>IF(AND('Mapa Institucional 2024'!$Y$29="Alta",'Mapa Institucional 2024'!$AA$29="Leve"),CONCATENATE("R4C",'Mapa Institucional 2024'!$O$29),"")</f>
        <v/>
      </c>
      <c r="M19" s="67" t="str">
        <f>IF(AND('Mapa Institucional 2024'!$Y$30="Alta",'Mapa Institucional 2024'!$AA$30="Leve"),CONCATENATE("R4C",'Mapa Institucional 2024'!$O$30),"")</f>
        <v/>
      </c>
      <c r="N19" s="67" t="str">
        <f>IF(AND('Mapa Institucional 2024'!$Y$31="Alta",'Mapa Institucional 2024'!$AA$31="Leve"),CONCATENATE("R4C",'Mapa Institucional 2024'!$O$31),"")</f>
        <v/>
      </c>
      <c r="O19" s="68" t="str">
        <f>IF(AND('Mapa Institucional 2024'!$Y$32="Alta",'Mapa Institucional 2024'!$AA$32="Leve"),CONCATENATE("R4C",'Mapa Institucional 2024'!$O$32),"")</f>
        <v/>
      </c>
      <c r="P19" s="66" t="str">
        <f>IF(AND('Mapa Institucional 2024'!$Y$27="Alta",'Mapa Institucional 2024'!$AA$27="Menor"),CONCATENATE("R4C",'Mapa Institucional 2024'!$O$27),"")</f>
        <v/>
      </c>
      <c r="Q19" s="67" t="str">
        <f>IF(AND('Mapa Institucional 2024'!$Y$28="Alta",'Mapa Institucional 2024'!$AA$28="Menor"),CONCATENATE("R4C",'Mapa Institucional 2024'!$O$28),"")</f>
        <v/>
      </c>
      <c r="R19" s="67" t="str">
        <f>IF(AND('Mapa Institucional 2024'!$Y$29="Alta",'Mapa Institucional 2024'!$AA$29="Menor"),CONCATENATE("R4C",'Mapa Institucional 2024'!$O$29),"")</f>
        <v/>
      </c>
      <c r="S19" s="67" t="str">
        <f>IF(AND('Mapa Institucional 2024'!$Y$30="Alta",'Mapa Institucional 2024'!$AA$30="Menor"),CONCATENATE("R4C",'Mapa Institucional 2024'!$O$30),"")</f>
        <v/>
      </c>
      <c r="T19" s="67" t="str">
        <f>IF(AND('Mapa Institucional 2024'!$Y$31="Alta",'Mapa Institucional 2024'!$AA$31="Menor"),CONCATENATE("R4C",'Mapa Institucional 2024'!$O$31),"")</f>
        <v/>
      </c>
      <c r="U19" s="68" t="str">
        <f>IF(AND('Mapa Institucional 2024'!$Y$32="Alta",'Mapa Institucional 2024'!$AA$32="Menor"),CONCATENATE("R4C",'Mapa Institucional 2024'!$O$32),"")</f>
        <v/>
      </c>
      <c r="V19" s="50" t="str">
        <f>IF(AND('Mapa Institucional 2024'!$Y$27="Alta",'Mapa Institucional 2024'!$AA$27="Moderado"),CONCATENATE("R4C",'Mapa Institucional 2024'!$O$27),"")</f>
        <v/>
      </c>
      <c r="W19" s="51" t="str">
        <f>IF(AND('Mapa Institucional 2024'!$Y$28="Alta",'Mapa Institucional 2024'!$AA$28="Moderado"),CONCATENATE("R4C",'Mapa Institucional 2024'!$O$28),"")</f>
        <v/>
      </c>
      <c r="X19" s="56" t="str">
        <f>IF(AND('Mapa Institucional 2024'!$Y$29="Alta",'Mapa Institucional 2024'!$AA$29="Moderado"),CONCATENATE("R4C",'Mapa Institucional 2024'!$O$29),"")</f>
        <v/>
      </c>
      <c r="Y19" s="56" t="str">
        <f>IF(AND('Mapa Institucional 2024'!$Y$30="Alta",'Mapa Institucional 2024'!$AA$30="Moderado"),CONCATENATE("R4C",'Mapa Institucional 2024'!$O$30),"")</f>
        <v/>
      </c>
      <c r="Z19" s="56" t="str">
        <f>IF(AND('Mapa Institucional 2024'!$Y$31="Alta",'Mapa Institucional 2024'!$AA$31="Moderado"),CONCATENATE("R4C",'Mapa Institucional 2024'!$O$31),"")</f>
        <v/>
      </c>
      <c r="AA19" s="52" t="str">
        <f>IF(AND('Mapa Institucional 2024'!$Y$32="Alta",'Mapa Institucional 2024'!$AA$32="Moderado"),CONCATENATE("R4C",'Mapa Institucional 2024'!$O$32),"")</f>
        <v/>
      </c>
      <c r="AB19" s="50" t="str">
        <f>IF(AND('Mapa Institucional 2024'!$Y$27="Alta",'Mapa Institucional 2024'!$AA$27="Mayor"),CONCATENATE("R4C",'Mapa Institucional 2024'!$O$27),"")</f>
        <v/>
      </c>
      <c r="AC19" s="51" t="str">
        <f>IF(AND('Mapa Institucional 2024'!$Y$28="Alta",'Mapa Institucional 2024'!$AA$28="Mayor"),CONCATENATE("R4C",'Mapa Institucional 2024'!$O$28),"")</f>
        <v/>
      </c>
      <c r="AD19" s="56" t="str">
        <f>IF(AND('Mapa Institucional 2024'!$Y$29="Alta",'Mapa Institucional 2024'!$AA$29="Mayor"),CONCATENATE("R4C",'Mapa Institucional 2024'!$O$29),"")</f>
        <v/>
      </c>
      <c r="AE19" s="56" t="str">
        <f>IF(AND('Mapa Institucional 2024'!$Y$30="Alta",'Mapa Institucional 2024'!$AA$30="Mayor"),CONCATENATE("R4C",'Mapa Institucional 2024'!$O$30),"")</f>
        <v/>
      </c>
      <c r="AF19" s="56" t="str">
        <f>IF(AND('Mapa Institucional 2024'!$Y$31="Alta",'Mapa Institucional 2024'!$AA$31="Mayor"),CONCATENATE("R4C",'Mapa Institucional 2024'!$O$31),"")</f>
        <v/>
      </c>
      <c r="AG19" s="52" t="str">
        <f>IF(AND('Mapa Institucional 2024'!$Y$32="Alta",'Mapa Institucional 2024'!$AA$32="Mayor"),CONCATENATE("R4C",'Mapa Institucional 2024'!$O$32),"")</f>
        <v/>
      </c>
      <c r="AH19" s="53" t="str">
        <f>IF(AND('Mapa Institucional 2024'!$Y$27="Alta",'Mapa Institucional 2024'!$AA$27="Catastrófico"),CONCATENATE("R4C",'Mapa Institucional 2024'!$O$27),"")</f>
        <v/>
      </c>
      <c r="AI19" s="54" t="str">
        <f>IF(AND('Mapa Institucional 2024'!$Y$28="Alta",'Mapa Institucional 2024'!$AA$28="Catastrófico"),CONCATENATE("R4C",'Mapa Institucional 2024'!$O$28),"")</f>
        <v/>
      </c>
      <c r="AJ19" s="54" t="str">
        <f>IF(AND('Mapa Institucional 2024'!$Y$29="Alta",'Mapa Institucional 2024'!$AA$29="Catastrófico"),CONCATENATE("R4C",'Mapa Institucional 2024'!$O$29),"")</f>
        <v/>
      </c>
      <c r="AK19" s="54" t="str">
        <f>IF(AND('Mapa Institucional 2024'!$Y$30="Alta",'Mapa Institucional 2024'!$AA$30="Catastrófico"),CONCATENATE("R4C",'Mapa Institucional 2024'!$O$30),"")</f>
        <v/>
      </c>
      <c r="AL19" s="54" t="str">
        <f>IF(AND('Mapa Institucional 2024'!$Y$31="Alta",'Mapa Institucional 2024'!$AA$31="Catastrófico"),CONCATENATE("R4C",'Mapa Institucional 2024'!$O$31),"")</f>
        <v/>
      </c>
      <c r="AM19" s="55" t="str">
        <f>IF(AND('Mapa Institucional 2024'!$Y$32="Alta",'Mapa Institucional 2024'!$AA$32="Catastrófico"),CONCATENATE("R4C",'Mapa Institucional 2024'!$O$32),"")</f>
        <v/>
      </c>
      <c r="AN19" s="82"/>
      <c r="AO19" s="453"/>
      <c r="AP19" s="454"/>
      <c r="AQ19" s="454"/>
      <c r="AR19" s="454"/>
      <c r="AS19" s="454"/>
      <c r="AT19" s="45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402"/>
      <c r="C20" s="402"/>
      <c r="D20" s="403"/>
      <c r="E20" s="443"/>
      <c r="F20" s="444"/>
      <c r="G20" s="444"/>
      <c r="H20" s="444"/>
      <c r="I20" s="460"/>
      <c r="J20" s="66" t="str">
        <f>IF(AND('Mapa Institucional 2024'!$Y$33="Alta",'Mapa Institucional 2024'!$AA$33="Leve"),CONCATENATE("R5C",'Mapa Institucional 2024'!$O$33),"")</f>
        <v/>
      </c>
      <c r="K20" s="67" t="str">
        <f>IF(AND('Mapa Institucional 2024'!$Y$34="Alta",'Mapa Institucional 2024'!$AA$34="Leve"),CONCATENATE("R5C",'Mapa Institucional 2024'!$O$34),"")</f>
        <v/>
      </c>
      <c r="L20" s="67" t="str">
        <f>IF(AND('Mapa Institucional 2024'!$Y$35="Alta",'Mapa Institucional 2024'!$AA$35="Leve"),CONCATENATE("R5C",'Mapa Institucional 2024'!$O$35),"")</f>
        <v/>
      </c>
      <c r="M20" s="67" t="str">
        <f>IF(AND('Mapa Institucional 2024'!$Y$36="Alta",'Mapa Institucional 2024'!$AA$36="Leve"),CONCATENATE("R5C",'Mapa Institucional 2024'!$O$36),"")</f>
        <v/>
      </c>
      <c r="N20" s="67" t="str">
        <f>IF(AND('Mapa Institucional 2024'!$Y$37="Alta",'Mapa Institucional 2024'!$AA$37="Leve"),CONCATENATE("R5C",'Mapa Institucional 2024'!$O$37),"")</f>
        <v/>
      </c>
      <c r="O20" s="68" t="str">
        <f>IF(AND('Mapa Institucional 2024'!$Y$38="Alta",'Mapa Institucional 2024'!$AA$38="Leve"),CONCATENATE("R5C",'Mapa Institucional 2024'!$O$38),"")</f>
        <v/>
      </c>
      <c r="P20" s="66" t="str">
        <f>IF(AND('Mapa Institucional 2024'!$Y$33="Alta",'Mapa Institucional 2024'!$AA$33="Menor"),CONCATENATE("R5C",'Mapa Institucional 2024'!$O$33),"")</f>
        <v/>
      </c>
      <c r="Q20" s="67" t="str">
        <f>IF(AND('Mapa Institucional 2024'!$Y$34="Alta",'Mapa Institucional 2024'!$AA$34="Menor"),CONCATENATE("R5C",'Mapa Institucional 2024'!$O$34),"")</f>
        <v/>
      </c>
      <c r="R20" s="67" t="str">
        <f>IF(AND('Mapa Institucional 2024'!$Y$35="Alta",'Mapa Institucional 2024'!$AA$35="Menor"),CONCATENATE("R5C",'Mapa Institucional 2024'!$O$35),"")</f>
        <v/>
      </c>
      <c r="S20" s="67" t="str">
        <f>IF(AND('Mapa Institucional 2024'!$Y$36="Alta",'Mapa Institucional 2024'!$AA$36="Menor"),CONCATENATE("R5C",'Mapa Institucional 2024'!$O$36),"")</f>
        <v/>
      </c>
      <c r="T20" s="67" t="str">
        <f>IF(AND('Mapa Institucional 2024'!$Y$37="Alta",'Mapa Institucional 2024'!$AA$37="Menor"),CONCATENATE("R5C",'Mapa Institucional 2024'!$O$37),"")</f>
        <v/>
      </c>
      <c r="U20" s="68" t="str">
        <f>IF(AND('Mapa Institucional 2024'!$Y$38="Alta",'Mapa Institucional 2024'!$AA$38="Menor"),CONCATENATE("R5C",'Mapa Institucional 2024'!$O$38),"")</f>
        <v/>
      </c>
      <c r="V20" s="50" t="str">
        <f>IF(AND('Mapa Institucional 2024'!$Y$33="Alta",'Mapa Institucional 2024'!$AA$33="Moderado"),CONCATENATE("R5C",'Mapa Institucional 2024'!$O$33),"")</f>
        <v/>
      </c>
      <c r="W20" s="51" t="str">
        <f>IF(AND('Mapa Institucional 2024'!$Y$34="Alta",'Mapa Institucional 2024'!$AA$34="Moderado"),CONCATENATE("R5C",'Mapa Institucional 2024'!$O$34),"")</f>
        <v/>
      </c>
      <c r="X20" s="56" t="str">
        <f>IF(AND('Mapa Institucional 2024'!$Y$35="Alta",'Mapa Institucional 2024'!$AA$35="Moderado"),CONCATENATE("R5C",'Mapa Institucional 2024'!$O$35),"")</f>
        <v/>
      </c>
      <c r="Y20" s="56" t="str">
        <f>IF(AND('Mapa Institucional 2024'!$Y$36="Alta",'Mapa Institucional 2024'!$AA$36="Moderado"),CONCATENATE("R5C",'Mapa Institucional 2024'!$O$36),"")</f>
        <v/>
      </c>
      <c r="Z20" s="56" t="str">
        <f>IF(AND('Mapa Institucional 2024'!$Y$37="Alta",'Mapa Institucional 2024'!$AA$37="Moderado"),CONCATENATE("R5C",'Mapa Institucional 2024'!$O$37),"")</f>
        <v/>
      </c>
      <c r="AA20" s="52" t="str">
        <f>IF(AND('Mapa Institucional 2024'!$Y$38="Alta",'Mapa Institucional 2024'!$AA$38="Moderado"),CONCATENATE("R5C",'Mapa Institucional 2024'!$O$38),"")</f>
        <v/>
      </c>
      <c r="AB20" s="50" t="str">
        <f>IF(AND('Mapa Institucional 2024'!$Y$33="Alta",'Mapa Institucional 2024'!$AA$33="Mayor"),CONCATENATE("R5C",'Mapa Institucional 2024'!$O$33),"")</f>
        <v/>
      </c>
      <c r="AC20" s="51" t="str">
        <f>IF(AND('Mapa Institucional 2024'!$Y$34="Alta",'Mapa Institucional 2024'!$AA$34="Mayor"),CONCATENATE("R5C",'Mapa Institucional 2024'!$O$34),"")</f>
        <v/>
      </c>
      <c r="AD20" s="56" t="str">
        <f>IF(AND('Mapa Institucional 2024'!$Y$35="Alta",'Mapa Institucional 2024'!$AA$35="Mayor"),CONCATENATE("R5C",'Mapa Institucional 2024'!$O$35),"")</f>
        <v/>
      </c>
      <c r="AE20" s="56" t="str">
        <f>IF(AND('Mapa Institucional 2024'!$Y$36="Alta",'Mapa Institucional 2024'!$AA$36="Mayor"),CONCATENATE("R5C",'Mapa Institucional 2024'!$O$36),"")</f>
        <v/>
      </c>
      <c r="AF20" s="56" t="str">
        <f>IF(AND('Mapa Institucional 2024'!$Y$37="Alta",'Mapa Institucional 2024'!$AA$37="Mayor"),CONCATENATE("R5C",'Mapa Institucional 2024'!$O$37),"")</f>
        <v/>
      </c>
      <c r="AG20" s="52" t="str">
        <f>IF(AND('Mapa Institucional 2024'!$Y$38="Alta",'Mapa Institucional 2024'!$AA$38="Mayor"),CONCATENATE("R5C",'Mapa Institucional 2024'!$O$38),"")</f>
        <v/>
      </c>
      <c r="AH20" s="53" t="str">
        <f>IF(AND('Mapa Institucional 2024'!$Y$33="Alta",'Mapa Institucional 2024'!$AA$33="Catastrófico"),CONCATENATE("R5C",'Mapa Institucional 2024'!$O$33),"")</f>
        <v/>
      </c>
      <c r="AI20" s="54" t="str">
        <f>IF(AND('Mapa Institucional 2024'!$Y$34="Alta",'Mapa Institucional 2024'!$AA$34="Catastrófico"),CONCATENATE("R5C",'Mapa Institucional 2024'!$O$34),"")</f>
        <v/>
      </c>
      <c r="AJ20" s="54" t="str">
        <f>IF(AND('Mapa Institucional 2024'!$Y$35="Alta",'Mapa Institucional 2024'!$AA$35="Catastrófico"),CONCATENATE("R5C",'Mapa Institucional 2024'!$O$35),"")</f>
        <v/>
      </c>
      <c r="AK20" s="54" t="str">
        <f>IF(AND('Mapa Institucional 2024'!$Y$36="Alta",'Mapa Institucional 2024'!$AA$36="Catastrófico"),CONCATENATE("R5C",'Mapa Institucional 2024'!$O$36),"")</f>
        <v/>
      </c>
      <c r="AL20" s="54" t="str">
        <f>IF(AND('Mapa Institucional 2024'!$Y$37="Alta",'Mapa Institucional 2024'!$AA$37="Catastrófico"),CONCATENATE("R5C",'Mapa Institucional 2024'!$O$37),"")</f>
        <v/>
      </c>
      <c r="AM20" s="55" t="str">
        <f>IF(AND('Mapa Institucional 2024'!$Y$38="Alta",'Mapa Institucional 2024'!$AA$38="Catastrófico"),CONCATENATE("R5C",'Mapa Institucional 2024'!$O$38),"")</f>
        <v/>
      </c>
      <c r="AN20" s="82"/>
      <c r="AO20" s="453"/>
      <c r="AP20" s="454"/>
      <c r="AQ20" s="454"/>
      <c r="AR20" s="454"/>
      <c r="AS20" s="454"/>
      <c r="AT20" s="45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402"/>
      <c r="C21" s="402"/>
      <c r="D21" s="403"/>
      <c r="E21" s="443"/>
      <c r="F21" s="444"/>
      <c r="G21" s="444"/>
      <c r="H21" s="444"/>
      <c r="I21" s="460"/>
      <c r="J21" s="66" t="str">
        <f>IF(AND('Mapa Institucional 2024'!$Y$39="Alta",'Mapa Institucional 2024'!$AA$39="Leve"),CONCATENATE("R6C",'Mapa Institucional 2024'!$O$39),"")</f>
        <v/>
      </c>
      <c r="K21" s="67" t="str">
        <f>IF(AND('Mapa Institucional 2024'!$Y$40="Alta",'Mapa Institucional 2024'!$AA$40="Leve"),CONCATENATE("R6C",'Mapa Institucional 2024'!$O$40),"")</f>
        <v/>
      </c>
      <c r="L21" s="67" t="str">
        <f>IF(AND('Mapa Institucional 2024'!$Y$41="Alta",'Mapa Institucional 2024'!$AA$41="Leve"),CONCATENATE("R6C",'Mapa Institucional 2024'!$O$41),"")</f>
        <v/>
      </c>
      <c r="M21" s="67" t="str">
        <f>IF(AND('Mapa Institucional 2024'!$Y$42="Alta",'Mapa Institucional 2024'!$AA$42="Leve"),CONCATENATE("R6C",'Mapa Institucional 2024'!$O$42),"")</f>
        <v/>
      </c>
      <c r="N21" s="67" t="str">
        <f>IF(AND('Mapa Institucional 2024'!$Y$43="Alta",'Mapa Institucional 2024'!$AA$43="Leve"),CONCATENATE("R6C",'Mapa Institucional 2024'!$O$43),"")</f>
        <v/>
      </c>
      <c r="O21" s="68" t="str">
        <f>IF(AND('Mapa Institucional 2024'!$Y$44="Alta",'Mapa Institucional 2024'!$AA$44="Leve"),CONCATENATE("R6C",'Mapa Institucional 2024'!$O$44),"")</f>
        <v/>
      </c>
      <c r="P21" s="66" t="str">
        <f>IF(AND('Mapa Institucional 2024'!$Y$39="Alta",'Mapa Institucional 2024'!$AA$39="Menor"),CONCATENATE("R6C",'Mapa Institucional 2024'!$O$39),"")</f>
        <v/>
      </c>
      <c r="Q21" s="67" t="str">
        <f>IF(AND('Mapa Institucional 2024'!$Y$40="Alta",'Mapa Institucional 2024'!$AA$40="Menor"),CONCATENATE("R6C",'Mapa Institucional 2024'!$O$40),"")</f>
        <v/>
      </c>
      <c r="R21" s="67" t="str">
        <f>IF(AND('Mapa Institucional 2024'!$Y$41="Alta",'Mapa Institucional 2024'!$AA$41="Menor"),CONCATENATE("R6C",'Mapa Institucional 2024'!$O$41),"")</f>
        <v/>
      </c>
      <c r="S21" s="67" t="str">
        <f>IF(AND('Mapa Institucional 2024'!$Y$42="Alta",'Mapa Institucional 2024'!$AA$42="Menor"),CONCATENATE("R6C",'Mapa Institucional 2024'!$O$42),"")</f>
        <v/>
      </c>
      <c r="T21" s="67" t="str">
        <f>IF(AND('Mapa Institucional 2024'!$Y$43="Alta",'Mapa Institucional 2024'!$AA$43="Menor"),CONCATENATE("R6C",'Mapa Institucional 2024'!$O$43),"")</f>
        <v/>
      </c>
      <c r="U21" s="68" t="str">
        <f>IF(AND('Mapa Institucional 2024'!$Y$44="Alta",'Mapa Institucional 2024'!$AA$44="Menor"),CONCATENATE("R6C",'Mapa Institucional 2024'!$O$44),"")</f>
        <v/>
      </c>
      <c r="V21" s="50" t="str">
        <f>IF(AND('Mapa Institucional 2024'!$Y$39="Alta",'Mapa Institucional 2024'!$AA$39="Moderado"),CONCATENATE("R6C",'Mapa Institucional 2024'!$O$39),"")</f>
        <v/>
      </c>
      <c r="W21" s="51" t="str">
        <f>IF(AND('Mapa Institucional 2024'!$Y$40="Alta",'Mapa Institucional 2024'!$AA$40="Moderado"),CONCATENATE("R6C",'Mapa Institucional 2024'!$O$40),"")</f>
        <v/>
      </c>
      <c r="X21" s="56" t="str">
        <f>IF(AND('Mapa Institucional 2024'!$Y$41="Alta",'Mapa Institucional 2024'!$AA$41="Moderado"),CONCATENATE("R6C",'Mapa Institucional 2024'!$O$41),"")</f>
        <v/>
      </c>
      <c r="Y21" s="56" t="str">
        <f>IF(AND('Mapa Institucional 2024'!$Y$42="Alta",'Mapa Institucional 2024'!$AA$42="Moderado"),CONCATENATE("R6C",'Mapa Institucional 2024'!$O$42),"")</f>
        <v/>
      </c>
      <c r="Z21" s="56" t="str">
        <f>IF(AND('Mapa Institucional 2024'!$Y$43="Alta",'Mapa Institucional 2024'!$AA$43="Moderado"),CONCATENATE("R6C",'Mapa Institucional 2024'!$O$43),"")</f>
        <v/>
      </c>
      <c r="AA21" s="52" t="str">
        <f>IF(AND('Mapa Institucional 2024'!$Y$44="Alta",'Mapa Institucional 2024'!$AA$44="Moderado"),CONCATENATE("R6C",'Mapa Institucional 2024'!$O$44),"")</f>
        <v/>
      </c>
      <c r="AB21" s="50" t="str">
        <f>IF(AND('Mapa Institucional 2024'!$Y$39="Alta",'Mapa Institucional 2024'!$AA$39="Mayor"),CONCATENATE("R6C",'Mapa Institucional 2024'!$O$39),"")</f>
        <v/>
      </c>
      <c r="AC21" s="51" t="str">
        <f>IF(AND('Mapa Institucional 2024'!$Y$40="Alta",'Mapa Institucional 2024'!$AA$40="Mayor"),CONCATENATE("R6C",'Mapa Institucional 2024'!$O$40),"")</f>
        <v/>
      </c>
      <c r="AD21" s="56" t="str">
        <f>IF(AND('Mapa Institucional 2024'!$Y$41="Alta",'Mapa Institucional 2024'!$AA$41="Mayor"),CONCATENATE("R6C",'Mapa Institucional 2024'!$O$41),"")</f>
        <v/>
      </c>
      <c r="AE21" s="56" t="str">
        <f>IF(AND('Mapa Institucional 2024'!$Y$42="Alta",'Mapa Institucional 2024'!$AA$42="Mayor"),CONCATENATE("R6C",'Mapa Institucional 2024'!$O$42),"")</f>
        <v/>
      </c>
      <c r="AF21" s="56" t="str">
        <f>IF(AND('Mapa Institucional 2024'!$Y$43="Alta",'Mapa Institucional 2024'!$AA$43="Mayor"),CONCATENATE("R6C",'Mapa Institucional 2024'!$O$43),"")</f>
        <v/>
      </c>
      <c r="AG21" s="52" t="str">
        <f>IF(AND('Mapa Institucional 2024'!$Y$44="Alta",'Mapa Institucional 2024'!$AA$44="Mayor"),CONCATENATE("R6C",'Mapa Institucional 2024'!$O$44),"")</f>
        <v/>
      </c>
      <c r="AH21" s="53" t="str">
        <f>IF(AND('Mapa Institucional 2024'!$Y$39="Alta",'Mapa Institucional 2024'!$AA$39="Catastrófico"),CONCATENATE("R6C",'Mapa Institucional 2024'!$O$39),"")</f>
        <v/>
      </c>
      <c r="AI21" s="54" t="str">
        <f>IF(AND('Mapa Institucional 2024'!$Y$40="Alta",'Mapa Institucional 2024'!$AA$40="Catastrófico"),CONCATENATE("R6C",'Mapa Institucional 2024'!$O$40),"")</f>
        <v/>
      </c>
      <c r="AJ21" s="54" t="str">
        <f>IF(AND('Mapa Institucional 2024'!$Y$41="Alta",'Mapa Institucional 2024'!$AA$41="Catastrófico"),CONCATENATE("R6C",'Mapa Institucional 2024'!$O$41),"")</f>
        <v/>
      </c>
      <c r="AK21" s="54" t="str">
        <f>IF(AND('Mapa Institucional 2024'!$Y$42="Alta",'Mapa Institucional 2024'!$AA$42="Catastrófico"),CONCATENATE("R6C",'Mapa Institucional 2024'!$O$42),"")</f>
        <v/>
      </c>
      <c r="AL21" s="54" t="str">
        <f>IF(AND('Mapa Institucional 2024'!$Y$43="Alta",'Mapa Institucional 2024'!$AA$43="Catastrófico"),CONCATENATE("R6C",'Mapa Institucional 2024'!$O$43),"")</f>
        <v/>
      </c>
      <c r="AM21" s="55" t="str">
        <f>IF(AND('Mapa Institucional 2024'!$Y$44="Alta",'Mapa Institucional 2024'!$AA$44="Catastrófico"),CONCATENATE("R6C",'Mapa Institucional 2024'!$O$44),"")</f>
        <v/>
      </c>
      <c r="AN21" s="82"/>
      <c r="AO21" s="453"/>
      <c r="AP21" s="454"/>
      <c r="AQ21" s="454"/>
      <c r="AR21" s="454"/>
      <c r="AS21" s="454"/>
      <c r="AT21" s="45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402"/>
      <c r="C22" s="402"/>
      <c r="D22" s="403"/>
      <c r="E22" s="443"/>
      <c r="F22" s="444"/>
      <c r="G22" s="444"/>
      <c r="H22" s="444"/>
      <c r="I22" s="460"/>
      <c r="J22" s="66" t="str">
        <f>IF(AND('Mapa Institucional 2024'!$Y$45="Alta",'Mapa Institucional 2024'!$AA$45="Leve"),CONCATENATE("R7C",'Mapa Institucional 2024'!$O$45),"")</f>
        <v/>
      </c>
      <c r="K22" s="67" t="str">
        <f>IF(AND('Mapa Institucional 2024'!$Y$46="Alta",'Mapa Institucional 2024'!$AA$46="Leve"),CONCATENATE("R7C",'Mapa Institucional 2024'!$O$46),"")</f>
        <v/>
      </c>
      <c r="L22" s="67" t="str">
        <f>IF(AND('Mapa Institucional 2024'!$Y$47="Alta",'Mapa Institucional 2024'!$AA$47="Leve"),CONCATENATE("R7C",'Mapa Institucional 2024'!$O$47),"")</f>
        <v/>
      </c>
      <c r="M22" s="67" t="str">
        <f>IF(AND('Mapa Institucional 2024'!$Y$48="Alta",'Mapa Institucional 2024'!$AA$48="Leve"),CONCATENATE("R7C",'Mapa Institucional 2024'!$O$48),"")</f>
        <v/>
      </c>
      <c r="N22" s="67" t="str">
        <f>IF(AND('Mapa Institucional 2024'!$Y$49="Alta",'Mapa Institucional 2024'!$AA$49="Leve"),CONCATENATE("R7C",'Mapa Institucional 2024'!$O$49),"")</f>
        <v/>
      </c>
      <c r="O22" s="68" t="str">
        <f>IF(AND('Mapa Institucional 2024'!$Y$50="Alta",'Mapa Institucional 2024'!$AA$50="Leve"),CONCATENATE("R7C",'Mapa Institucional 2024'!$O$50),"")</f>
        <v/>
      </c>
      <c r="P22" s="66" t="str">
        <f>IF(AND('Mapa Institucional 2024'!$Y$45="Alta",'Mapa Institucional 2024'!$AA$45="Menor"),CONCATENATE("R7C",'Mapa Institucional 2024'!$O$45),"")</f>
        <v/>
      </c>
      <c r="Q22" s="67" t="str">
        <f>IF(AND('Mapa Institucional 2024'!$Y$46="Alta",'Mapa Institucional 2024'!$AA$46="Menor"),CONCATENATE("R7C",'Mapa Institucional 2024'!$O$46),"")</f>
        <v/>
      </c>
      <c r="R22" s="67" t="str">
        <f>IF(AND('Mapa Institucional 2024'!$Y$47="Alta",'Mapa Institucional 2024'!$AA$47="Menor"),CONCATENATE("R7C",'Mapa Institucional 2024'!$O$47),"")</f>
        <v/>
      </c>
      <c r="S22" s="67" t="str">
        <f>IF(AND('Mapa Institucional 2024'!$Y$48="Alta",'Mapa Institucional 2024'!$AA$48="Menor"),CONCATENATE("R7C",'Mapa Institucional 2024'!$O$48),"")</f>
        <v/>
      </c>
      <c r="T22" s="67" t="str">
        <f>IF(AND('Mapa Institucional 2024'!$Y$49="Alta",'Mapa Institucional 2024'!$AA$49="Menor"),CONCATENATE("R7C",'Mapa Institucional 2024'!$O$49),"")</f>
        <v/>
      </c>
      <c r="U22" s="68" t="str">
        <f>IF(AND('Mapa Institucional 2024'!$Y$50="Alta",'Mapa Institucional 2024'!$AA$50="Menor"),CONCATENATE("R7C",'Mapa Institucional 2024'!$O$50),"")</f>
        <v/>
      </c>
      <c r="V22" s="50" t="str">
        <f>IF(AND('Mapa Institucional 2024'!$Y$45="Alta",'Mapa Institucional 2024'!$AA$45="Moderado"),CONCATENATE("R7C",'Mapa Institucional 2024'!$O$45),"")</f>
        <v/>
      </c>
      <c r="W22" s="51" t="str">
        <f>IF(AND('Mapa Institucional 2024'!$Y$46="Alta",'Mapa Institucional 2024'!$AA$46="Moderado"),CONCATENATE("R7C",'Mapa Institucional 2024'!$O$46),"")</f>
        <v/>
      </c>
      <c r="X22" s="56" t="str">
        <f>IF(AND('Mapa Institucional 2024'!$Y$47="Alta",'Mapa Institucional 2024'!$AA$47="Moderado"),CONCATENATE("R7C",'Mapa Institucional 2024'!$O$47),"")</f>
        <v/>
      </c>
      <c r="Y22" s="56" t="str">
        <f>IF(AND('Mapa Institucional 2024'!$Y$48="Alta",'Mapa Institucional 2024'!$AA$48="Moderado"),CONCATENATE("R7C",'Mapa Institucional 2024'!$O$48),"")</f>
        <v/>
      </c>
      <c r="Z22" s="56" t="str">
        <f>IF(AND('Mapa Institucional 2024'!$Y$49="Alta",'Mapa Institucional 2024'!$AA$49="Moderado"),CONCATENATE("R7C",'Mapa Institucional 2024'!$O$49),"")</f>
        <v/>
      </c>
      <c r="AA22" s="52" t="str">
        <f>IF(AND('Mapa Institucional 2024'!$Y$50="Alta",'Mapa Institucional 2024'!$AA$50="Moderado"),CONCATENATE("R7C",'Mapa Institucional 2024'!$O$50),"")</f>
        <v/>
      </c>
      <c r="AB22" s="50" t="str">
        <f>IF(AND('Mapa Institucional 2024'!$Y$45="Alta",'Mapa Institucional 2024'!$AA$45="Mayor"),CONCATENATE("R7C",'Mapa Institucional 2024'!$O$45),"")</f>
        <v/>
      </c>
      <c r="AC22" s="51" t="str">
        <f>IF(AND('Mapa Institucional 2024'!$Y$46="Alta",'Mapa Institucional 2024'!$AA$46="Mayor"),CONCATENATE("R7C",'Mapa Institucional 2024'!$O$46),"")</f>
        <v/>
      </c>
      <c r="AD22" s="56" t="str">
        <f>IF(AND('Mapa Institucional 2024'!$Y$47="Alta",'Mapa Institucional 2024'!$AA$47="Mayor"),CONCATENATE("R7C",'Mapa Institucional 2024'!$O$47),"")</f>
        <v/>
      </c>
      <c r="AE22" s="56" t="str">
        <f>IF(AND('Mapa Institucional 2024'!$Y$48="Alta",'Mapa Institucional 2024'!$AA$48="Mayor"),CONCATENATE("R7C",'Mapa Institucional 2024'!$O$48),"")</f>
        <v/>
      </c>
      <c r="AF22" s="56" t="str">
        <f>IF(AND('Mapa Institucional 2024'!$Y$49="Alta",'Mapa Institucional 2024'!$AA$49="Mayor"),CONCATENATE("R7C",'Mapa Institucional 2024'!$O$49),"")</f>
        <v/>
      </c>
      <c r="AG22" s="52" t="str">
        <f>IF(AND('Mapa Institucional 2024'!$Y$50="Alta",'Mapa Institucional 2024'!$AA$50="Mayor"),CONCATENATE("R7C",'Mapa Institucional 2024'!$O$50),"")</f>
        <v/>
      </c>
      <c r="AH22" s="53" t="str">
        <f>IF(AND('Mapa Institucional 2024'!$Y$45="Alta",'Mapa Institucional 2024'!$AA$45="Catastrófico"),CONCATENATE("R7C",'Mapa Institucional 2024'!$O$45),"")</f>
        <v/>
      </c>
      <c r="AI22" s="54" t="str">
        <f>IF(AND('Mapa Institucional 2024'!$Y$46="Alta",'Mapa Institucional 2024'!$AA$46="Catastrófico"),CONCATENATE("R7C",'Mapa Institucional 2024'!$O$46),"")</f>
        <v/>
      </c>
      <c r="AJ22" s="54" t="str">
        <f>IF(AND('Mapa Institucional 2024'!$Y$47="Alta",'Mapa Institucional 2024'!$AA$47="Catastrófico"),CONCATENATE("R7C",'Mapa Institucional 2024'!$O$47),"")</f>
        <v/>
      </c>
      <c r="AK22" s="54" t="str">
        <f>IF(AND('Mapa Institucional 2024'!$Y$48="Alta",'Mapa Institucional 2024'!$AA$48="Catastrófico"),CONCATENATE("R7C",'Mapa Institucional 2024'!$O$48),"")</f>
        <v/>
      </c>
      <c r="AL22" s="54" t="str">
        <f>IF(AND('Mapa Institucional 2024'!$Y$49="Alta",'Mapa Institucional 2024'!$AA$49="Catastrófico"),CONCATENATE("R7C",'Mapa Institucional 2024'!$O$49),"")</f>
        <v/>
      </c>
      <c r="AM22" s="55" t="str">
        <f>IF(AND('Mapa Institucional 2024'!$Y$50="Alta",'Mapa Institucional 2024'!$AA$50="Catastrófico"),CONCATENATE("R7C",'Mapa Institucional 2024'!$O$50),"")</f>
        <v/>
      </c>
      <c r="AN22" s="82"/>
      <c r="AO22" s="453"/>
      <c r="AP22" s="454"/>
      <c r="AQ22" s="454"/>
      <c r="AR22" s="454"/>
      <c r="AS22" s="454"/>
      <c r="AT22" s="455"/>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402"/>
      <c r="C23" s="402"/>
      <c r="D23" s="403"/>
      <c r="E23" s="443"/>
      <c r="F23" s="444"/>
      <c r="G23" s="444"/>
      <c r="H23" s="444"/>
      <c r="I23" s="460"/>
      <c r="J23" s="66" t="str">
        <f>IF(AND('Mapa Institucional 2024'!$Y$51="Alta",'Mapa Institucional 2024'!$AA$51="Leve"),CONCATENATE("R8C",'Mapa Institucional 2024'!$O$51),"")</f>
        <v/>
      </c>
      <c r="K23" s="67" t="str">
        <f>IF(AND('Mapa Institucional 2024'!$Y$52="Alta",'Mapa Institucional 2024'!$AA$52="Leve"),CONCATENATE("R8C",'Mapa Institucional 2024'!$O$52),"")</f>
        <v/>
      </c>
      <c r="L23" s="67" t="str">
        <f>IF(AND('Mapa Institucional 2024'!$Y$53="Alta",'Mapa Institucional 2024'!$AA$53="Leve"),CONCATENATE("R8C",'Mapa Institucional 2024'!$O$53),"")</f>
        <v/>
      </c>
      <c r="M23" s="67" t="str">
        <f>IF(AND('Mapa Institucional 2024'!$Y$54="Alta",'Mapa Institucional 2024'!$AA$54="Leve"),CONCATENATE("R8C",'Mapa Institucional 2024'!$O$54),"")</f>
        <v/>
      </c>
      <c r="N23" s="67" t="str">
        <f>IF(AND('Mapa Institucional 2024'!$Y$55="Alta",'Mapa Institucional 2024'!$AA$55="Leve"),CONCATENATE("R8C",'Mapa Institucional 2024'!$O$55),"")</f>
        <v/>
      </c>
      <c r="O23" s="68" t="str">
        <f>IF(AND('Mapa Institucional 2024'!$Y$56="Alta",'Mapa Institucional 2024'!$AA$56="Leve"),CONCATENATE("R8C",'Mapa Institucional 2024'!$O$56),"")</f>
        <v/>
      </c>
      <c r="P23" s="66" t="str">
        <f>IF(AND('Mapa Institucional 2024'!$Y$51="Alta",'Mapa Institucional 2024'!$AA$51="Menor"),CONCATENATE("R8C",'Mapa Institucional 2024'!$O$51),"")</f>
        <v/>
      </c>
      <c r="Q23" s="67" t="str">
        <f>IF(AND('Mapa Institucional 2024'!$Y$52="Alta",'Mapa Institucional 2024'!$AA$52="Menor"),CONCATENATE("R8C",'Mapa Institucional 2024'!$O$52),"")</f>
        <v/>
      </c>
      <c r="R23" s="67" t="str">
        <f>IF(AND('Mapa Institucional 2024'!$Y$53="Alta",'Mapa Institucional 2024'!$AA$53="Menor"),CONCATENATE("R8C",'Mapa Institucional 2024'!$O$53),"")</f>
        <v/>
      </c>
      <c r="S23" s="67" t="str">
        <f>IF(AND('Mapa Institucional 2024'!$Y$54="Alta",'Mapa Institucional 2024'!$AA$54="Menor"),CONCATENATE("R8C",'Mapa Institucional 2024'!$O$54),"")</f>
        <v/>
      </c>
      <c r="T23" s="67" t="str">
        <f>IF(AND('Mapa Institucional 2024'!$Y$55="Alta",'Mapa Institucional 2024'!$AA$55="Menor"),CONCATENATE("R8C",'Mapa Institucional 2024'!$O$55),"")</f>
        <v/>
      </c>
      <c r="U23" s="68" t="str">
        <f>IF(AND('Mapa Institucional 2024'!$Y$56="Alta",'Mapa Institucional 2024'!$AA$56="Menor"),CONCATENATE("R8C",'Mapa Institucional 2024'!$O$56),"")</f>
        <v/>
      </c>
      <c r="V23" s="50" t="str">
        <f>IF(AND('Mapa Institucional 2024'!$Y$51="Alta",'Mapa Institucional 2024'!$AA$51="Moderado"),CONCATENATE("R8C",'Mapa Institucional 2024'!$O$51),"")</f>
        <v/>
      </c>
      <c r="W23" s="51" t="str">
        <f>IF(AND('Mapa Institucional 2024'!$Y$52="Alta",'Mapa Institucional 2024'!$AA$52="Moderado"),CONCATENATE("R8C",'Mapa Institucional 2024'!$O$52),"")</f>
        <v/>
      </c>
      <c r="X23" s="56" t="str">
        <f>IF(AND('Mapa Institucional 2024'!$Y$53="Alta",'Mapa Institucional 2024'!$AA$53="Moderado"),CONCATENATE("R8C",'Mapa Institucional 2024'!$O$53),"")</f>
        <v/>
      </c>
      <c r="Y23" s="56" t="str">
        <f>IF(AND('Mapa Institucional 2024'!$Y$54="Alta",'Mapa Institucional 2024'!$AA$54="Moderado"),CONCATENATE("R8C",'Mapa Institucional 2024'!$O$54),"")</f>
        <v/>
      </c>
      <c r="Z23" s="56" t="str">
        <f>IF(AND('Mapa Institucional 2024'!$Y$55="Alta",'Mapa Institucional 2024'!$AA$55="Moderado"),CONCATENATE("R8C",'Mapa Institucional 2024'!$O$55),"")</f>
        <v/>
      </c>
      <c r="AA23" s="52" t="str">
        <f>IF(AND('Mapa Institucional 2024'!$Y$56="Alta",'Mapa Institucional 2024'!$AA$56="Moderado"),CONCATENATE("R8C",'Mapa Institucional 2024'!$O$56),"")</f>
        <v/>
      </c>
      <c r="AB23" s="50" t="str">
        <f>IF(AND('Mapa Institucional 2024'!$Y$51="Alta",'Mapa Institucional 2024'!$AA$51="Mayor"),CONCATENATE("R8C",'Mapa Institucional 2024'!$O$51),"")</f>
        <v/>
      </c>
      <c r="AC23" s="51" t="str">
        <f>IF(AND('Mapa Institucional 2024'!$Y$52="Alta",'Mapa Institucional 2024'!$AA$52="Mayor"),CONCATENATE("R8C",'Mapa Institucional 2024'!$O$52),"")</f>
        <v/>
      </c>
      <c r="AD23" s="56" t="str">
        <f>IF(AND('Mapa Institucional 2024'!$Y$53="Alta",'Mapa Institucional 2024'!$AA$53="Mayor"),CONCATENATE("R8C",'Mapa Institucional 2024'!$O$53),"")</f>
        <v/>
      </c>
      <c r="AE23" s="56" t="str">
        <f>IF(AND('Mapa Institucional 2024'!$Y$54="Alta",'Mapa Institucional 2024'!$AA$54="Mayor"),CONCATENATE("R8C",'Mapa Institucional 2024'!$O$54),"")</f>
        <v/>
      </c>
      <c r="AF23" s="56" t="str">
        <f>IF(AND('Mapa Institucional 2024'!$Y$55="Alta",'Mapa Institucional 2024'!$AA$55="Mayor"),CONCATENATE("R8C",'Mapa Institucional 2024'!$O$55),"")</f>
        <v/>
      </c>
      <c r="AG23" s="52" t="str">
        <f>IF(AND('Mapa Institucional 2024'!$Y$56="Alta",'Mapa Institucional 2024'!$AA$56="Mayor"),CONCATENATE("R8C",'Mapa Institucional 2024'!$O$56),"")</f>
        <v/>
      </c>
      <c r="AH23" s="53" t="str">
        <f>IF(AND('Mapa Institucional 2024'!$Y$51="Alta",'Mapa Institucional 2024'!$AA$51="Catastrófico"),CONCATENATE("R8C",'Mapa Institucional 2024'!$O$51),"")</f>
        <v/>
      </c>
      <c r="AI23" s="54" t="str">
        <f>IF(AND('Mapa Institucional 2024'!$Y$52="Alta",'Mapa Institucional 2024'!$AA$52="Catastrófico"),CONCATENATE("R8C",'Mapa Institucional 2024'!$O$52),"")</f>
        <v/>
      </c>
      <c r="AJ23" s="54" t="str">
        <f>IF(AND('Mapa Institucional 2024'!$Y$53="Alta",'Mapa Institucional 2024'!$AA$53="Catastrófico"),CONCATENATE("R8C",'Mapa Institucional 2024'!$O$53),"")</f>
        <v/>
      </c>
      <c r="AK23" s="54" t="str">
        <f>IF(AND('Mapa Institucional 2024'!$Y$54="Alta",'Mapa Institucional 2024'!$AA$54="Catastrófico"),CONCATENATE("R8C",'Mapa Institucional 2024'!$O$54),"")</f>
        <v/>
      </c>
      <c r="AL23" s="54" t="str">
        <f>IF(AND('Mapa Institucional 2024'!$Y$55="Alta",'Mapa Institucional 2024'!$AA$55="Catastrófico"),CONCATENATE("R8C",'Mapa Institucional 2024'!$O$55),"")</f>
        <v/>
      </c>
      <c r="AM23" s="55" t="str">
        <f>IF(AND('Mapa Institucional 2024'!$Y$56="Alta",'Mapa Institucional 2024'!$AA$56="Catastrófico"),CONCATENATE("R8C",'Mapa Institucional 2024'!$O$56),"")</f>
        <v/>
      </c>
      <c r="AN23" s="82"/>
      <c r="AO23" s="453"/>
      <c r="AP23" s="454"/>
      <c r="AQ23" s="454"/>
      <c r="AR23" s="454"/>
      <c r="AS23" s="454"/>
      <c r="AT23" s="45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402"/>
      <c r="C24" s="402"/>
      <c r="D24" s="403"/>
      <c r="E24" s="443"/>
      <c r="F24" s="444"/>
      <c r="G24" s="444"/>
      <c r="H24" s="444"/>
      <c r="I24" s="460"/>
      <c r="J24" s="66" t="str">
        <f>IF(AND('Mapa Institucional 2024'!$Y$57="Alta",'Mapa Institucional 2024'!$AA$57="Leve"),CONCATENATE("R9C",'Mapa Institucional 2024'!$O$57),"")</f>
        <v/>
      </c>
      <c r="K24" s="67" t="str">
        <f>IF(AND('Mapa Institucional 2024'!$Y$58="Alta",'Mapa Institucional 2024'!$AA$58="Leve"),CONCATENATE("R9C",'Mapa Institucional 2024'!$O$58),"")</f>
        <v/>
      </c>
      <c r="L24" s="67" t="str">
        <f>IF(AND('Mapa Institucional 2024'!$Y$59="Alta",'Mapa Institucional 2024'!$AA$59="Leve"),CONCATENATE("R9C",'Mapa Institucional 2024'!$O$59),"")</f>
        <v/>
      </c>
      <c r="M24" s="67" t="str">
        <f>IF(AND('Mapa Institucional 2024'!$Y$60="Alta",'Mapa Institucional 2024'!$AA$60="Leve"),CONCATENATE("R9C",'Mapa Institucional 2024'!$O$60),"")</f>
        <v/>
      </c>
      <c r="N24" s="67" t="str">
        <f>IF(AND('Mapa Institucional 2024'!$Y$61="Alta",'Mapa Institucional 2024'!$AA$61="Leve"),CONCATENATE("R9C",'Mapa Institucional 2024'!$O$61),"")</f>
        <v/>
      </c>
      <c r="O24" s="68" t="str">
        <f>IF(AND('Mapa Institucional 2024'!$Y$62="Alta",'Mapa Institucional 2024'!$AA$62="Leve"),CONCATENATE("R9C",'Mapa Institucional 2024'!$O$62),"")</f>
        <v/>
      </c>
      <c r="P24" s="66" t="str">
        <f>IF(AND('Mapa Institucional 2024'!$Y$57="Alta",'Mapa Institucional 2024'!$AA$57="Menor"),CONCATENATE("R9C",'Mapa Institucional 2024'!$O$57),"")</f>
        <v/>
      </c>
      <c r="Q24" s="67" t="str">
        <f>IF(AND('Mapa Institucional 2024'!$Y$58="Alta",'Mapa Institucional 2024'!$AA$58="Menor"),CONCATENATE("R9C",'Mapa Institucional 2024'!$O$58),"")</f>
        <v/>
      </c>
      <c r="R24" s="67" t="str">
        <f>IF(AND('Mapa Institucional 2024'!$Y$59="Alta",'Mapa Institucional 2024'!$AA$59="Menor"),CONCATENATE("R9C",'Mapa Institucional 2024'!$O$59),"")</f>
        <v/>
      </c>
      <c r="S24" s="67" t="str">
        <f>IF(AND('Mapa Institucional 2024'!$Y$60="Alta",'Mapa Institucional 2024'!$AA$60="Menor"),CONCATENATE("R9C",'Mapa Institucional 2024'!$O$60),"")</f>
        <v/>
      </c>
      <c r="T24" s="67" t="str">
        <f>IF(AND('Mapa Institucional 2024'!$Y$61="Alta",'Mapa Institucional 2024'!$AA$61="Menor"),CONCATENATE("R9C",'Mapa Institucional 2024'!$O$61),"")</f>
        <v/>
      </c>
      <c r="U24" s="68" t="str">
        <f>IF(AND('Mapa Institucional 2024'!$Y$62="Alta",'Mapa Institucional 2024'!$AA$62="Menor"),CONCATENATE("R9C",'Mapa Institucional 2024'!$O$62),"")</f>
        <v/>
      </c>
      <c r="V24" s="50" t="str">
        <f>IF(AND('Mapa Institucional 2024'!$Y$57="Alta",'Mapa Institucional 2024'!$AA$57="Moderado"),CONCATENATE("R9C",'Mapa Institucional 2024'!$O$57),"")</f>
        <v/>
      </c>
      <c r="W24" s="51" t="str">
        <f>IF(AND('Mapa Institucional 2024'!$Y$58="Alta",'Mapa Institucional 2024'!$AA$58="Moderado"),CONCATENATE("R9C",'Mapa Institucional 2024'!$O$58),"")</f>
        <v/>
      </c>
      <c r="X24" s="56" t="str">
        <f>IF(AND('Mapa Institucional 2024'!$Y$59="Alta",'Mapa Institucional 2024'!$AA$59="Moderado"),CONCATENATE("R9C",'Mapa Institucional 2024'!$O$59),"")</f>
        <v/>
      </c>
      <c r="Y24" s="56" t="str">
        <f>IF(AND('Mapa Institucional 2024'!$Y$60="Alta",'Mapa Institucional 2024'!$AA$60="Moderado"),CONCATENATE("R9C",'Mapa Institucional 2024'!$O$60),"")</f>
        <v/>
      </c>
      <c r="Z24" s="56" t="str">
        <f>IF(AND('Mapa Institucional 2024'!$Y$61="Alta",'Mapa Institucional 2024'!$AA$61="Moderado"),CONCATENATE("R9C",'Mapa Institucional 2024'!$O$61),"")</f>
        <v/>
      </c>
      <c r="AA24" s="52" t="str">
        <f>IF(AND('Mapa Institucional 2024'!$Y$62="Alta",'Mapa Institucional 2024'!$AA$62="Moderado"),CONCATENATE("R9C",'Mapa Institucional 2024'!$O$62),"")</f>
        <v/>
      </c>
      <c r="AB24" s="50" t="str">
        <f>IF(AND('Mapa Institucional 2024'!$Y$57="Alta",'Mapa Institucional 2024'!$AA$57="Mayor"),CONCATENATE("R9C",'Mapa Institucional 2024'!$O$57),"")</f>
        <v/>
      </c>
      <c r="AC24" s="51" t="str">
        <f>IF(AND('Mapa Institucional 2024'!$Y$58="Alta",'Mapa Institucional 2024'!$AA$58="Mayor"),CONCATENATE("R9C",'Mapa Institucional 2024'!$O$58),"")</f>
        <v/>
      </c>
      <c r="AD24" s="56" t="str">
        <f>IF(AND('Mapa Institucional 2024'!$Y$59="Alta",'Mapa Institucional 2024'!$AA$59="Mayor"),CONCATENATE("R9C",'Mapa Institucional 2024'!$O$59),"")</f>
        <v/>
      </c>
      <c r="AE24" s="56" t="str">
        <f>IF(AND('Mapa Institucional 2024'!$Y$60="Alta",'Mapa Institucional 2024'!$AA$60="Mayor"),CONCATENATE("R9C",'Mapa Institucional 2024'!$O$60),"")</f>
        <v/>
      </c>
      <c r="AF24" s="56" t="str">
        <f>IF(AND('Mapa Institucional 2024'!$Y$61="Alta",'Mapa Institucional 2024'!$AA$61="Mayor"),CONCATENATE("R9C",'Mapa Institucional 2024'!$O$61),"")</f>
        <v/>
      </c>
      <c r="AG24" s="52" t="str">
        <f>IF(AND('Mapa Institucional 2024'!$Y$62="Alta",'Mapa Institucional 2024'!$AA$62="Mayor"),CONCATENATE("R9C",'Mapa Institucional 2024'!$O$62),"")</f>
        <v/>
      </c>
      <c r="AH24" s="53" t="str">
        <f>IF(AND('Mapa Institucional 2024'!$Y$57="Alta",'Mapa Institucional 2024'!$AA$57="Catastrófico"),CONCATENATE("R9C",'Mapa Institucional 2024'!$O$57),"")</f>
        <v/>
      </c>
      <c r="AI24" s="54" t="str">
        <f>IF(AND('Mapa Institucional 2024'!$Y$58="Alta",'Mapa Institucional 2024'!$AA$58="Catastrófico"),CONCATENATE("R9C",'Mapa Institucional 2024'!$O$58),"")</f>
        <v/>
      </c>
      <c r="AJ24" s="54" t="str">
        <f>IF(AND('Mapa Institucional 2024'!$Y$59="Alta",'Mapa Institucional 2024'!$AA$59="Catastrófico"),CONCATENATE("R9C",'Mapa Institucional 2024'!$O$59),"")</f>
        <v/>
      </c>
      <c r="AK24" s="54" t="str">
        <f>IF(AND('Mapa Institucional 2024'!$Y$60="Alta",'Mapa Institucional 2024'!$AA$60="Catastrófico"),CONCATENATE("R9C",'Mapa Institucional 2024'!$O$60),"")</f>
        <v/>
      </c>
      <c r="AL24" s="54" t="str">
        <f>IF(AND('Mapa Institucional 2024'!$Y$61="Alta",'Mapa Institucional 2024'!$AA$61="Catastrófico"),CONCATENATE("R9C",'Mapa Institucional 2024'!$O$61),"")</f>
        <v/>
      </c>
      <c r="AM24" s="55" t="str">
        <f>IF(AND('Mapa Institucional 2024'!$Y$62="Alta",'Mapa Institucional 2024'!$AA$62="Catastrófico"),CONCATENATE("R9C",'Mapa Institucional 2024'!$O$62),"")</f>
        <v/>
      </c>
      <c r="AN24" s="82"/>
      <c r="AO24" s="453"/>
      <c r="AP24" s="454"/>
      <c r="AQ24" s="454"/>
      <c r="AR24" s="454"/>
      <c r="AS24" s="454"/>
      <c r="AT24" s="45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402"/>
      <c r="C25" s="402"/>
      <c r="D25" s="403"/>
      <c r="E25" s="446"/>
      <c r="F25" s="447"/>
      <c r="G25" s="447"/>
      <c r="H25" s="447"/>
      <c r="I25" s="447"/>
      <c r="J25" s="69" t="str">
        <f>IF(AND('Mapa Institucional 2024'!$Y$63="Alta",'Mapa Institucional 2024'!$AA$63="Leve"),CONCATENATE("R10C",'Mapa Institucional 2024'!$O$63),"")</f>
        <v/>
      </c>
      <c r="K25" s="70" t="str">
        <f>IF(AND('Mapa Institucional 2024'!$Y$64="Alta",'Mapa Institucional 2024'!$AA$64="Leve"),CONCATENATE("R10C",'Mapa Institucional 2024'!$O$64),"")</f>
        <v/>
      </c>
      <c r="L25" s="70" t="str">
        <f>IF(AND('Mapa Institucional 2024'!$Y$65="Alta",'Mapa Institucional 2024'!$AA$65="Leve"),CONCATENATE("R10C",'Mapa Institucional 2024'!$O$65),"")</f>
        <v/>
      </c>
      <c r="M25" s="70" t="str">
        <f>IF(AND('Mapa Institucional 2024'!$Y$66="Alta",'Mapa Institucional 2024'!$AA$66="Leve"),CONCATENATE("R10C",'Mapa Institucional 2024'!$O$66),"")</f>
        <v/>
      </c>
      <c r="N25" s="70" t="str">
        <f>IF(AND('Mapa Institucional 2024'!$Y$67="Alta",'Mapa Institucional 2024'!$AA$67="Leve"),CONCATENATE("R10C",'Mapa Institucional 2024'!$O$67),"")</f>
        <v/>
      </c>
      <c r="O25" s="71" t="str">
        <f>IF(AND('Mapa Institucional 2024'!$Y$68="Alta",'Mapa Institucional 2024'!$AA$68="Leve"),CONCATENATE("R10C",'Mapa Institucional 2024'!$O$68),"")</f>
        <v/>
      </c>
      <c r="P25" s="69" t="str">
        <f>IF(AND('Mapa Institucional 2024'!$Y$63="Alta",'Mapa Institucional 2024'!$AA$63="Menor"),CONCATENATE("R10C",'Mapa Institucional 2024'!$O$63),"")</f>
        <v/>
      </c>
      <c r="Q25" s="70" t="str">
        <f>IF(AND('Mapa Institucional 2024'!$Y$64="Alta",'Mapa Institucional 2024'!$AA$64="Menor"),CONCATENATE("R10C",'Mapa Institucional 2024'!$O$64),"")</f>
        <v/>
      </c>
      <c r="R25" s="70" t="str">
        <f>IF(AND('Mapa Institucional 2024'!$Y$65="Alta",'Mapa Institucional 2024'!$AA$65="Menor"),CONCATENATE("R10C",'Mapa Institucional 2024'!$O$65),"")</f>
        <v/>
      </c>
      <c r="S25" s="70" t="str">
        <f>IF(AND('Mapa Institucional 2024'!$Y$66="Alta",'Mapa Institucional 2024'!$AA$66="Menor"),CONCATENATE("R10C",'Mapa Institucional 2024'!$O$66),"")</f>
        <v/>
      </c>
      <c r="T25" s="70" t="str">
        <f>IF(AND('Mapa Institucional 2024'!$Y$67="Alta",'Mapa Institucional 2024'!$AA$67="Menor"),CONCATENATE("R10C",'Mapa Institucional 2024'!$O$67),"")</f>
        <v/>
      </c>
      <c r="U25" s="71" t="str">
        <f>IF(AND('Mapa Institucional 2024'!$Y$68="Alta",'Mapa Institucional 2024'!$AA$68="Menor"),CONCATENATE("R10C",'Mapa Institucional 2024'!$O$68),"")</f>
        <v/>
      </c>
      <c r="V25" s="57" t="str">
        <f>IF(AND('Mapa Institucional 2024'!$Y$63="Alta",'Mapa Institucional 2024'!$AA$63="Moderado"),CONCATENATE("R10C",'Mapa Institucional 2024'!$O$63),"")</f>
        <v/>
      </c>
      <c r="W25" s="58" t="str">
        <f>IF(AND('Mapa Institucional 2024'!$Y$64="Alta",'Mapa Institucional 2024'!$AA$64="Moderado"),CONCATENATE("R10C",'Mapa Institucional 2024'!$O$64),"")</f>
        <v/>
      </c>
      <c r="X25" s="58" t="str">
        <f>IF(AND('Mapa Institucional 2024'!$Y$65="Alta",'Mapa Institucional 2024'!$AA$65="Moderado"),CONCATENATE("R10C",'Mapa Institucional 2024'!$O$65),"")</f>
        <v/>
      </c>
      <c r="Y25" s="58" t="str">
        <f>IF(AND('Mapa Institucional 2024'!$Y$66="Alta",'Mapa Institucional 2024'!$AA$66="Moderado"),CONCATENATE("R10C",'Mapa Institucional 2024'!$O$66),"")</f>
        <v/>
      </c>
      <c r="Z25" s="58" t="str">
        <f>IF(AND('Mapa Institucional 2024'!$Y$67="Alta",'Mapa Institucional 2024'!$AA$67="Moderado"),CONCATENATE("R10C",'Mapa Institucional 2024'!$O$67),"")</f>
        <v/>
      </c>
      <c r="AA25" s="59" t="str">
        <f>IF(AND('Mapa Institucional 2024'!$Y$68="Alta",'Mapa Institucional 2024'!$AA$68="Moderado"),CONCATENATE("R10C",'Mapa Institucional 2024'!$O$68),"")</f>
        <v/>
      </c>
      <c r="AB25" s="57" t="str">
        <f>IF(AND('Mapa Institucional 2024'!$Y$63="Alta",'Mapa Institucional 2024'!$AA$63="Mayor"),CONCATENATE("R10C",'Mapa Institucional 2024'!$O$63),"")</f>
        <v/>
      </c>
      <c r="AC25" s="58" t="str">
        <f>IF(AND('Mapa Institucional 2024'!$Y$64="Alta",'Mapa Institucional 2024'!$AA$64="Mayor"),CONCATENATE("R10C",'Mapa Institucional 2024'!$O$64),"")</f>
        <v/>
      </c>
      <c r="AD25" s="58" t="str">
        <f>IF(AND('Mapa Institucional 2024'!$Y$65="Alta",'Mapa Institucional 2024'!$AA$65="Mayor"),CONCATENATE("R10C",'Mapa Institucional 2024'!$O$65),"")</f>
        <v/>
      </c>
      <c r="AE25" s="58" t="str">
        <f>IF(AND('Mapa Institucional 2024'!$Y$66="Alta",'Mapa Institucional 2024'!$AA$66="Mayor"),CONCATENATE("R10C",'Mapa Institucional 2024'!$O$66),"")</f>
        <v/>
      </c>
      <c r="AF25" s="58" t="str">
        <f>IF(AND('Mapa Institucional 2024'!$Y$67="Alta",'Mapa Institucional 2024'!$AA$67="Mayor"),CONCATENATE("R10C",'Mapa Institucional 2024'!$O$67),"")</f>
        <v/>
      </c>
      <c r="AG25" s="59" t="str">
        <f>IF(AND('Mapa Institucional 2024'!$Y$68="Alta",'Mapa Institucional 2024'!$AA$68="Mayor"),CONCATENATE("R10C",'Mapa Institucional 2024'!$O$68),"")</f>
        <v/>
      </c>
      <c r="AH25" s="60" t="str">
        <f>IF(AND('Mapa Institucional 2024'!$Y$63="Alta",'Mapa Institucional 2024'!$AA$63="Catastrófico"),CONCATENATE("R10C",'Mapa Institucional 2024'!$O$63),"")</f>
        <v/>
      </c>
      <c r="AI25" s="61" t="str">
        <f>IF(AND('Mapa Institucional 2024'!$Y$64="Alta",'Mapa Institucional 2024'!$AA$64="Catastrófico"),CONCATENATE("R10C",'Mapa Institucional 2024'!$O$64),"")</f>
        <v/>
      </c>
      <c r="AJ25" s="61" t="str">
        <f>IF(AND('Mapa Institucional 2024'!$Y$65="Alta",'Mapa Institucional 2024'!$AA$65="Catastrófico"),CONCATENATE("R10C",'Mapa Institucional 2024'!$O$65),"")</f>
        <v/>
      </c>
      <c r="AK25" s="61" t="str">
        <f>IF(AND('Mapa Institucional 2024'!$Y$66="Alta",'Mapa Institucional 2024'!$AA$66="Catastrófico"),CONCATENATE("R10C",'Mapa Institucional 2024'!$O$66),"")</f>
        <v/>
      </c>
      <c r="AL25" s="61" t="str">
        <f>IF(AND('Mapa Institucional 2024'!$Y$67="Alta",'Mapa Institucional 2024'!$AA$67="Catastrófico"),CONCATENATE("R10C",'Mapa Institucional 2024'!$O$67),"")</f>
        <v/>
      </c>
      <c r="AM25" s="62" t="str">
        <f>IF(AND('Mapa Institucional 2024'!$Y$68="Alta",'Mapa Institucional 2024'!$AA$68="Catastrófico"),CONCATENATE("R10C",'Mapa Institucional 2024'!$O$68),"")</f>
        <v/>
      </c>
      <c r="AN25" s="82"/>
      <c r="AO25" s="456"/>
      <c r="AP25" s="457"/>
      <c r="AQ25" s="457"/>
      <c r="AR25" s="457"/>
      <c r="AS25" s="457"/>
      <c r="AT25" s="458"/>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402"/>
      <c r="C26" s="402"/>
      <c r="D26" s="403"/>
      <c r="E26" s="440" t="s">
        <v>117</v>
      </c>
      <c r="F26" s="441"/>
      <c r="G26" s="441"/>
      <c r="H26" s="441"/>
      <c r="I26" s="442"/>
      <c r="J26" s="63" t="str">
        <f ca="1">IF(AND('Mapa Institucional 2024'!$Y$9="Media",'Mapa Institucional 2024'!$AA$9="Leve"),CONCATENATE("R1C",'Mapa Institucional 2024'!$O$9),"")</f>
        <v/>
      </c>
      <c r="K26" s="64" t="str">
        <f>IF(AND('Mapa Institucional 2024'!$Y$10="Media",'Mapa Institucional 2024'!$AA$10="Leve"),CONCATENATE("R1C",'Mapa Institucional 2024'!$O$10),"")</f>
        <v/>
      </c>
      <c r="L26" s="64" t="str">
        <f>IF(AND('Mapa Institucional 2024'!$Y$11="Media",'Mapa Institucional 2024'!$AA$11="Leve"),CONCATENATE("R1C",'Mapa Institucional 2024'!$O$11),"")</f>
        <v/>
      </c>
      <c r="M26" s="64" t="str">
        <f>IF(AND('Mapa Institucional 2024'!$Y$12="Media",'Mapa Institucional 2024'!$AA$12="Leve"),CONCATENATE("R1C",'Mapa Institucional 2024'!$O$12),"")</f>
        <v/>
      </c>
      <c r="N26" s="64" t="str">
        <f>IF(AND('Mapa Institucional 2024'!$Y$13="Media",'Mapa Institucional 2024'!$AA$13="Leve"),CONCATENATE("R1C",'Mapa Institucional 2024'!$O$13),"")</f>
        <v/>
      </c>
      <c r="O26" s="65" t="str">
        <f>IF(AND('Mapa Institucional 2024'!$Y$14="Media",'Mapa Institucional 2024'!$AA$14="Leve"),CONCATENATE("R1C",'Mapa Institucional 2024'!$O$14),"")</f>
        <v/>
      </c>
      <c r="P26" s="63" t="str">
        <f ca="1">IF(AND('Mapa Institucional 2024'!$Y$9="Media",'Mapa Institucional 2024'!$AA$9="Menor"),CONCATENATE("R1C",'Mapa Institucional 2024'!$O$9),"")</f>
        <v/>
      </c>
      <c r="Q26" s="64" t="str">
        <f>IF(AND('Mapa Institucional 2024'!$Y$10="Media",'Mapa Institucional 2024'!$AA$10="Menor"),CONCATENATE("R1C",'Mapa Institucional 2024'!$O$10),"")</f>
        <v/>
      </c>
      <c r="R26" s="64" t="str">
        <f>IF(AND('Mapa Institucional 2024'!$Y$11="Media",'Mapa Institucional 2024'!$AA$11="Menor"),CONCATENATE("R1C",'Mapa Institucional 2024'!$O$11),"")</f>
        <v/>
      </c>
      <c r="S26" s="64" t="str">
        <f>IF(AND('Mapa Institucional 2024'!$Y$12="Media",'Mapa Institucional 2024'!$AA$12="Menor"),CONCATENATE("R1C",'Mapa Institucional 2024'!$O$12),"")</f>
        <v/>
      </c>
      <c r="T26" s="64" t="str">
        <f>IF(AND('Mapa Institucional 2024'!$Y$13="Media",'Mapa Institucional 2024'!$AA$13="Menor"),CONCATENATE("R1C",'Mapa Institucional 2024'!$O$13),"")</f>
        <v/>
      </c>
      <c r="U26" s="65" t="str">
        <f>IF(AND('Mapa Institucional 2024'!$Y$14="Media",'Mapa Institucional 2024'!$AA$14="Menor"),CONCATENATE("R1C",'Mapa Institucional 2024'!$O$14),"")</f>
        <v/>
      </c>
      <c r="V26" s="63" t="str">
        <f ca="1">IF(AND('Mapa Institucional 2024'!$Y$9="Media",'Mapa Institucional 2024'!$AA$9="Moderado"),CONCATENATE("R1C",'Mapa Institucional 2024'!$O$9),"")</f>
        <v/>
      </c>
      <c r="W26" s="64" t="str">
        <f>IF(AND('Mapa Institucional 2024'!$Y$10="Media",'Mapa Institucional 2024'!$AA$10="Moderado"),CONCATENATE("R1C",'Mapa Institucional 2024'!$O$10),"")</f>
        <v/>
      </c>
      <c r="X26" s="64" t="str">
        <f>IF(AND('Mapa Institucional 2024'!$Y$11="Media",'Mapa Institucional 2024'!$AA$11="Moderado"),CONCATENATE("R1C",'Mapa Institucional 2024'!$O$11),"")</f>
        <v/>
      </c>
      <c r="Y26" s="64" t="str">
        <f>IF(AND('Mapa Institucional 2024'!$Y$12="Media",'Mapa Institucional 2024'!$AA$12="Moderado"),CONCATENATE("R1C",'Mapa Institucional 2024'!$O$12),"")</f>
        <v/>
      </c>
      <c r="Z26" s="64" t="str">
        <f>IF(AND('Mapa Institucional 2024'!$Y$13="Media",'Mapa Institucional 2024'!$AA$13="Moderado"),CONCATENATE("R1C",'Mapa Institucional 2024'!$O$13),"")</f>
        <v/>
      </c>
      <c r="AA26" s="65" t="str">
        <f>IF(AND('Mapa Institucional 2024'!$Y$14="Media",'Mapa Institucional 2024'!$AA$14="Moderado"),CONCATENATE("R1C",'Mapa Institucional 2024'!$O$14),"")</f>
        <v/>
      </c>
      <c r="AB26" s="44" t="str">
        <f ca="1">IF(AND('Mapa Institucional 2024'!$Y$9="Media",'Mapa Institucional 2024'!$AA$9="Mayor"),CONCATENATE("R1C",'Mapa Institucional 2024'!$O$9),"")</f>
        <v/>
      </c>
      <c r="AC26" s="45" t="str">
        <f>IF(AND('Mapa Institucional 2024'!$Y$10="Media",'Mapa Institucional 2024'!$AA$10="Mayor"),CONCATENATE("R1C",'Mapa Institucional 2024'!$O$10),"")</f>
        <v/>
      </c>
      <c r="AD26" s="45" t="str">
        <f>IF(AND('Mapa Institucional 2024'!$Y$11="Media",'Mapa Institucional 2024'!$AA$11="Mayor"),CONCATENATE("R1C",'Mapa Institucional 2024'!$O$11),"")</f>
        <v/>
      </c>
      <c r="AE26" s="45" t="str">
        <f>IF(AND('Mapa Institucional 2024'!$Y$12="Media",'Mapa Institucional 2024'!$AA$12="Mayor"),CONCATENATE("R1C",'Mapa Institucional 2024'!$O$12),"")</f>
        <v/>
      </c>
      <c r="AF26" s="45" t="str">
        <f>IF(AND('Mapa Institucional 2024'!$Y$13="Media",'Mapa Institucional 2024'!$AA$13="Mayor"),CONCATENATE("R1C",'Mapa Institucional 2024'!$O$13),"")</f>
        <v/>
      </c>
      <c r="AG26" s="46" t="str">
        <f>IF(AND('Mapa Institucional 2024'!$Y$14="Media",'Mapa Institucional 2024'!$AA$14="Mayor"),CONCATENATE("R1C",'Mapa Institucional 2024'!$O$14),"")</f>
        <v/>
      </c>
      <c r="AH26" s="47" t="str">
        <f ca="1">IF(AND('Mapa Institucional 2024'!$Y$9="Media",'Mapa Institucional 2024'!$AA$9="Catastrófico"),CONCATENATE("R1C",'Mapa Institucional 2024'!$O$9),"")</f>
        <v/>
      </c>
      <c r="AI26" s="48" t="str">
        <f>IF(AND('Mapa Institucional 2024'!$Y$10="Media",'Mapa Institucional 2024'!$AA$10="Catastrófico"),CONCATENATE("R1C",'Mapa Institucional 2024'!$O$10),"")</f>
        <v/>
      </c>
      <c r="AJ26" s="48" t="str">
        <f>IF(AND('Mapa Institucional 2024'!$Y$11="Media",'Mapa Institucional 2024'!$AA$11="Catastrófico"),CONCATENATE("R1C",'Mapa Institucional 2024'!$O$11),"")</f>
        <v/>
      </c>
      <c r="AK26" s="48" t="str">
        <f>IF(AND('Mapa Institucional 2024'!$Y$12="Media",'Mapa Institucional 2024'!$AA$12="Catastrófico"),CONCATENATE("R1C",'Mapa Institucional 2024'!$O$12),"")</f>
        <v/>
      </c>
      <c r="AL26" s="48" t="str">
        <f>IF(AND('Mapa Institucional 2024'!$Y$13="Media",'Mapa Institucional 2024'!$AA$13="Catastrófico"),CONCATENATE("R1C",'Mapa Institucional 2024'!$O$13),"")</f>
        <v/>
      </c>
      <c r="AM26" s="49" t="str">
        <f>IF(AND('Mapa Institucional 2024'!$Y$14="Media",'Mapa Institucional 2024'!$AA$14="Catastrófico"),CONCATENATE("R1C",'Mapa Institucional 2024'!$O$14),"")</f>
        <v/>
      </c>
      <c r="AN26" s="82"/>
      <c r="AO26" s="481" t="s">
        <v>81</v>
      </c>
      <c r="AP26" s="482"/>
      <c r="AQ26" s="482"/>
      <c r="AR26" s="482"/>
      <c r="AS26" s="482"/>
      <c r="AT26" s="483"/>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402"/>
      <c r="C27" s="402"/>
      <c r="D27" s="403"/>
      <c r="E27" s="459"/>
      <c r="F27" s="460"/>
      <c r="G27" s="460"/>
      <c r="H27" s="460"/>
      <c r="I27" s="445"/>
      <c r="J27" s="66" t="str">
        <f ca="1">IF(AND('Mapa Institucional 2024'!$Y$15="Media",'Mapa Institucional 2024'!$AA$15="Leve"),CONCATENATE("R2C",'Mapa Institucional 2024'!$O$15),"")</f>
        <v/>
      </c>
      <c r="K27" s="67" t="str">
        <f>IF(AND('Mapa Institucional 2024'!$Y$16="Media",'Mapa Institucional 2024'!$AA$16="Leve"),CONCATENATE("R2C",'Mapa Institucional 2024'!$O$16),"")</f>
        <v/>
      </c>
      <c r="L27" s="67" t="str">
        <f>IF(AND('Mapa Institucional 2024'!$Y$17="Media",'Mapa Institucional 2024'!$AA$17="Leve"),CONCATENATE("R2C",'Mapa Institucional 2024'!$O$17),"")</f>
        <v/>
      </c>
      <c r="M27" s="67" t="str">
        <f>IF(AND('Mapa Institucional 2024'!$Y$18="Media",'Mapa Institucional 2024'!$AA$18="Leve"),CONCATENATE("R2C",'Mapa Institucional 2024'!$O$18),"")</f>
        <v/>
      </c>
      <c r="N27" s="67" t="str">
        <f>IF(AND('Mapa Institucional 2024'!$Y$19="Media",'Mapa Institucional 2024'!$AA$19="Leve"),CONCATENATE("R2C",'Mapa Institucional 2024'!$O$19),"")</f>
        <v/>
      </c>
      <c r="O27" s="68" t="str">
        <f>IF(AND('Mapa Institucional 2024'!$Y$20="Media",'Mapa Institucional 2024'!$AA$20="Leve"),CONCATENATE("R2C",'Mapa Institucional 2024'!$O$20),"")</f>
        <v/>
      </c>
      <c r="P27" s="66" t="str">
        <f ca="1">IF(AND('Mapa Institucional 2024'!$Y$15="Media",'Mapa Institucional 2024'!$AA$15="Menor"),CONCATENATE("R2C",'Mapa Institucional 2024'!$O$15),"")</f>
        <v/>
      </c>
      <c r="Q27" s="67" t="str">
        <f>IF(AND('Mapa Institucional 2024'!$Y$16="Media",'Mapa Institucional 2024'!$AA$16="Menor"),CONCATENATE("R2C",'Mapa Institucional 2024'!$O$16),"")</f>
        <v/>
      </c>
      <c r="R27" s="67" t="str">
        <f>IF(AND('Mapa Institucional 2024'!$Y$17="Media",'Mapa Institucional 2024'!$AA$17="Menor"),CONCATENATE("R2C",'Mapa Institucional 2024'!$O$17),"")</f>
        <v/>
      </c>
      <c r="S27" s="67" t="str">
        <f>IF(AND('Mapa Institucional 2024'!$Y$18="Media",'Mapa Institucional 2024'!$AA$18="Menor"),CONCATENATE("R2C",'Mapa Institucional 2024'!$O$18),"")</f>
        <v/>
      </c>
      <c r="T27" s="67" t="str">
        <f>IF(AND('Mapa Institucional 2024'!$Y$19="Media",'Mapa Institucional 2024'!$AA$19="Menor"),CONCATENATE("R2C",'Mapa Institucional 2024'!$O$19),"")</f>
        <v/>
      </c>
      <c r="U27" s="68" t="str">
        <f>IF(AND('Mapa Institucional 2024'!$Y$20="Media",'Mapa Institucional 2024'!$AA$20="Menor"),CONCATENATE("R2C",'Mapa Institucional 2024'!$O$20),"")</f>
        <v/>
      </c>
      <c r="V27" s="66" t="str">
        <f ca="1">IF(AND('Mapa Institucional 2024'!$Y$15="Media",'Mapa Institucional 2024'!$AA$15="Moderado"),CONCATENATE("R2C",'Mapa Institucional 2024'!$O$15),"")</f>
        <v/>
      </c>
      <c r="W27" s="67" t="str">
        <f>IF(AND('Mapa Institucional 2024'!$Y$16="Media",'Mapa Institucional 2024'!$AA$16="Moderado"),CONCATENATE("R2C",'Mapa Institucional 2024'!$O$16),"")</f>
        <v/>
      </c>
      <c r="X27" s="67" t="str">
        <f>IF(AND('Mapa Institucional 2024'!$Y$17="Media",'Mapa Institucional 2024'!$AA$17="Moderado"),CONCATENATE("R2C",'Mapa Institucional 2024'!$O$17),"")</f>
        <v/>
      </c>
      <c r="Y27" s="67" t="str">
        <f>IF(AND('Mapa Institucional 2024'!$Y$18="Media",'Mapa Institucional 2024'!$AA$18="Moderado"),CONCATENATE("R2C",'Mapa Institucional 2024'!$O$18),"")</f>
        <v/>
      </c>
      <c r="Z27" s="67" t="str">
        <f>IF(AND('Mapa Institucional 2024'!$Y$19="Media",'Mapa Institucional 2024'!$AA$19="Moderado"),CONCATENATE("R2C",'Mapa Institucional 2024'!$O$19),"")</f>
        <v/>
      </c>
      <c r="AA27" s="68" t="str">
        <f>IF(AND('Mapa Institucional 2024'!$Y$20="Media",'Mapa Institucional 2024'!$AA$20="Moderado"),CONCATENATE("R2C",'Mapa Institucional 2024'!$O$20),"")</f>
        <v/>
      </c>
      <c r="AB27" s="50" t="str">
        <f ca="1">IF(AND('Mapa Institucional 2024'!$Y$15="Media",'Mapa Institucional 2024'!$AA$15="Mayor"),CONCATENATE("R2C",'Mapa Institucional 2024'!$O$15),"")</f>
        <v/>
      </c>
      <c r="AC27" s="51" t="str">
        <f>IF(AND('Mapa Institucional 2024'!$Y$16="Media",'Mapa Institucional 2024'!$AA$16="Mayor"),CONCATENATE("R2C",'Mapa Institucional 2024'!$O$16),"")</f>
        <v/>
      </c>
      <c r="AD27" s="51" t="str">
        <f>IF(AND('Mapa Institucional 2024'!$Y$17="Media",'Mapa Institucional 2024'!$AA$17="Mayor"),CONCATENATE("R2C",'Mapa Institucional 2024'!$O$17),"")</f>
        <v/>
      </c>
      <c r="AE27" s="51" t="str">
        <f>IF(AND('Mapa Institucional 2024'!$Y$18="Media",'Mapa Institucional 2024'!$AA$18="Mayor"),CONCATENATE("R2C",'Mapa Institucional 2024'!$O$18),"")</f>
        <v/>
      </c>
      <c r="AF27" s="51" t="str">
        <f>IF(AND('Mapa Institucional 2024'!$Y$19="Media",'Mapa Institucional 2024'!$AA$19="Mayor"),CONCATENATE("R2C",'Mapa Institucional 2024'!$O$19),"")</f>
        <v/>
      </c>
      <c r="AG27" s="52" t="str">
        <f>IF(AND('Mapa Institucional 2024'!$Y$20="Media",'Mapa Institucional 2024'!$AA$20="Mayor"),CONCATENATE("R2C",'Mapa Institucional 2024'!$O$20),"")</f>
        <v/>
      </c>
      <c r="AH27" s="53" t="str">
        <f ca="1">IF(AND('Mapa Institucional 2024'!$Y$15="Media",'Mapa Institucional 2024'!$AA$15="Catastrófico"),CONCATENATE("R2C",'Mapa Institucional 2024'!$O$15),"")</f>
        <v/>
      </c>
      <c r="AI27" s="54" t="str">
        <f>IF(AND('Mapa Institucional 2024'!$Y$16="Media",'Mapa Institucional 2024'!$AA$16="Catastrófico"),CONCATENATE("R2C",'Mapa Institucional 2024'!$O$16),"")</f>
        <v/>
      </c>
      <c r="AJ27" s="54" t="str">
        <f>IF(AND('Mapa Institucional 2024'!$Y$17="Media",'Mapa Institucional 2024'!$AA$17="Catastrófico"),CONCATENATE("R2C",'Mapa Institucional 2024'!$O$17),"")</f>
        <v/>
      </c>
      <c r="AK27" s="54" t="str">
        <f>IF(AND('Mapa Institucional 2024'!$Y$18="Media",'Mapa Institucional 2024'!$AA$18="Catastrófico"),CONCATENATE("R2C",'Mapa Institucional 2024'!$O$18),"")</f>
        <v/>
      </c>
      <c r="AL27" s="54" t="str">
        <f>IF(AND('Mapa Institucional 2024'!$Y$19="Media",'Mapa Institucional 2024'!$AA$19="Catastrófico"),CONCATENATE("R2C",'Mapa Institucional 2024'!$O$19),"")</f>
        <v/>
      </c>
      <c r="AM27" s="55" t="str">
        <f>IF(AND('Mapa Institucional 2024'!$Y$20="Media",'Mapa Institucional 2024'!$AA$20="Catastrófico"),CONCATENATE("R2C",'Mapa Institucional 2024'!$O$20),"")</f>
        <v/>
      </c>
      <c r="AN27" s="82"/>
      <c r="AO27" s="484"/>
      <c r="AP27" s="485"/>
      <c r="AQ27" s="485"/>
      <c r="AR27" s="485"/>
      <c r="AS27" s="485"/>
      <c r="AT27" s="486"/>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402"/>
      <c r="C28" s="402"/>
      <c r="D28" s="403"/>
      <c r="E28" s="443"/>
      <c r="F28" s="444"/>
      <c r="G28" s="444"/>
      <c r="H28" s="444"/>
      <c r="I28" s="445"/>
      <c r="J28" s="66" t="str">
        <f>IF(AND('Mapa Institucional 2024'!$Y$21="Media",'Mapa Institucional 2024'!$AA$21="Leve"),CONCATENATE("R3C",'Mapa Institucional 2024'!$O$21),"")</f>
        <v/>
      </c>
      <c r="K28" s="67" t="str">
        <f>IF(AND('Mapa Institucional 2024'!$Y$22="Media",'Mapa Institucional 2024'!$AA$22="Leve"),CONCATENATE("R3C",'Mapa Institucional 2024'!$O$22),"")</f>
        <v/>
      </c>
      <c r="L28" s="67" t="str">
        <f>IF(AND('Mapa Institucional 2024'!$Y$23="Media",'Mapa Institucional 2024'!$AA$23="Leve"),CONCATENATE("R3C",'Mapa Institucional 2024'!$O$23),"")</f>
        <v/>
      </c>
      <c r="M28" s="67" t="str">
        <f>IF(AND('Mapa Institucional 2024'!$Y$24="Media",'Mapa Institucional 2024'!$AA$24="Leve"),CONCATENATE("R3C",'Mapa Institucional 2024'!$O$24),"")</f>
        <v/>
      </c>
      <c r="N28" s="67" t="str">
        <f>IF(AND('Mapa Institucional 2024'!$Y$25="Media",'Mapa Institucional 2024'!$AA$25="Leve"),CONCATENATE("R3C",'Mapa Institucional 2024'!$O$25),"")</f>
        <v/>
      </c>
      <c r="O28" s="68" t="str">
        <f>IF(AND('Mapa Institucional 2024'!$Y$26="Media",'Mapa Institucional 2024'!$AA$26="Leve"),CONCATENATE("R3C",'Mapa Institucional 2024'!$O$26),"")</f>
        <v/>
      </c>
      <c r="P28" s="66" t="str">
        <f>IF(AND('Mapa Institucional 2024'!$Y$21="Media",'Mapa Institucional 2024'!$AA$21="Menor"),CONCATENATE("R3C",'Mapa Institucional 2024'!$O$21),"")</f>
        <v/>
      </c>
      <c r="Q28" s="67" t="str">
        <f>IF(AND('Mapa Institucional 2024'!$Y$22="Media",'Mapa Institucional 2024'!$AA$22="Menor"),CONCATENATE("R3C",'Mapa Institucional 2024'!$O$22),"")</f>
        <v/>
      </c>
      <c r="R28" s="67" t="str">
        <f>IF(AND('Mapa Institucional 2024'!$Y$23="Media",'Mapa Institucional 2024'!$AA$23="Menor"),CONCATENATE("R3C",'Mapa Institucional 2024'!$O$23),"")</f>
        <v/>
      </c>
      <c r="S28" s="67" t="str">
        <f>IF(AND('Mapa Institucional 2024'!$Y$24="Media",'Mapa Institucional 2024'!$AA$24="Menor"),CONCATENATE("R3C",'Mapa Institucional 2024'!$O$24),"")</f>
        <v/>
      </c>
      <c r="T28" s="67" t="str">
        <f>IF(AND('Mapa Institucional 2024'!$Y$25="Media",'Mapa Institucional 2024'!$AA$25="Menor"),CONCATENATE("R3C",'Mapa Institucional 2024'!$O$25),"")</f>
        <v/>
      </c>
      <c r="U28" s="68" t="str">
        <f>IF(AND('Mapa Institucional 2024'!$Y$26="Media",'Mapa Institucional 2024'!$AA$26="Menor"),CONCATENATE("R3C",'Mapa Institucional 2024'!$O$26),"")</f>
        <v/>
      </c>
      <c r="V28" s="66" t="str">
        <f>IF(AND('Mapa Institucional 2024'!$Y$21="Media",'Mapa Institucional 2024'!$AA$21="Moderado"),CONCATENATE("R3C",'Mapa Institucional 2024'!$O$21),"")</f>
        <v/>
      </c>
      <c r="W28" s="67" t="str">
        <f>IF(AND('Mapa Institucional 2024'!$Y$22="Media",'Mapa Institucional 2024'!$AA$22="Moderado"),CONCATENATE("R3C",'Mapa Institucional 2024'!$O$22),"")</f>
        <v/>
      </c>
      <c r="X28" s="67" t="str">
        <f>IF(AND('Mapa Institucional 2024'!$Y$23="Media",'Mapa Institucional 2024'!$AA$23="Moderado"),CONCATENATE("R3C",'Mapa Institucional 2024'!$O$23),"")</f>
        <v/>
      </c>
      <c r="Y28" s="67" t="str">
        <f>IF(AND('Mapa Institucional 2024'!$Y$24="Media",'Mapa Institucional 2024'!$AA$24="Moderado"),CONCATENATE("R3C",'Mapa Institucional 2024'!$O$24),"")</f>
        <v/>
      </c>
      <c r="Z28" s="67" t="str">
        <f>IF(AND('Mapa Institucional 2024'!$Y$25="Media",'Mapa Institucional 2024'!$AA$25="Moderado"),CONCATENATE("R3C",'Mapa Institucional 2024'!$O$25),"")</f>
        <v/>
      </c>
      <c r="AA28" s="68" t="str">
        <f>IF(AND('Mapa Institucional 2024'!$Y$26="Media",'Mapa Institucional 2024'!$AA$26="Moderado"),CONCATENATE("R3C",'Mapa Institucional 2024'!$O$26),"")</f>
        <v/>
      </c>
      <c r="AB28" s="50" t="str">
        <f>IF(AND('Mapa Institucional 2024'!$Y$21="Media",'Mapa Institucional 2024'!$AA$21="Mayor"),CONCATENATE("R3C",'Mapa Institucional 2024'!$O$21),"")</f>
        <v/>
      </c>
      <c r="AC28" s="51" t="str">
        <f>IF(AND('Mapa Institucional 2024'!$Y$22="Media",'Mapa Institucional 2024'!$AA$22="Mayor"),CONCATENATE("R3C",'Mapa Institucional 2024'!$O$22),"")</f>
        <v/>
      </c>
      <c r="AD28" s="51" t="str">
        <f>IF(AND('Mapa Institucional 2024'!$Y$23="Media",'Mapa Institucional 2024'!$AA$23="Mayor"),CONCATENATE("R3C",'Mapa Institucional 2024'!$O$23),"")</f>
        <v/>
      </c>
      <c r="AE28" s="51" t="str">
        <f>IF(AND('Mapa Institucional 2024'!$Y$24="Media",'Mapa Institucional 2024'!$AA$24="Mayor"),CONCATENATE("R3C",'Mapa Institucional 2024'!$O$24),"")</f>
        <v/>
      </c>
      <c r="AF28" s="51" t="str">
        <f>IF(AND('Mapa Institucional 2024'!$Y$25="Media",'Mapa Institucional 2024'!$AA$25="Mayor"),CONCATENATE("R3C",'Mapa Institucional 2024'!$O$25),"")</f>
        <v/>
      </c>
      <c r="AG28" s="52" t="str">
        <f>IF(AND('Mapa Institucional 2024'!$Y$26="Media",'Mapa Institucional 2024'!$AA$26="Mayor"),CONCATENATE("R3C",'Mapa Institucional 2024'!$O$26),"")</f>
        <v/>
      </c>
      <c r="AH28" s="53" t="str">
        <f>IF(AND('Mapa Institucional 2024'!$Y$21="Media",'Mapa Institucional 2024'!$AA$21="Catastrófico"),CONCATENATE("R3C",'Mapa Institucional 2024'!$O$21),"")</f>
        <v/>
      </c>
      <c r="AI28" s="54" t="str">
        <f>IF(AND('Mapa Institucional 2024'!$Y$22="Media",'Mapa Institucional 2024'!$AA$22="Catastrófico"),CONCATENATE("R3C",'Mapa Institucional 2024'!$O$22),"")</f>
        <v/>
      </c>
      <c r="AJ28" s="54" t="str">
        <f>IF(AND('Mapa Institucional 2024'!$Y$23="Media",'Mapa Institucional 2024'!$AA$23="Catastrófico"),CONCATENATE("R3C",'Mapa Institucional 2024'!$O$23),"")</f>
        <v/>
      </c>
      <c r="AK28" s="54" t="str">
        <f>IF(AND('Mapa Institucional 2024'!$Y$24="Media",'Mapa Institucional 2024'!$AA$24="Catastrófico"),CONCATENATE("R3C",'Mapa Institucional 2024'!$O$24),"")</f>
        <v/>
      </c>
      <c r="AL28" s="54" t="str">
        <f>IF(AND('Mapa Institucional 2024'!$Y$25="Media",'Mapa Institucional 2024'!$AA$25="Catastrófico"),CONCATENATE("R3C",'Mapa Institucional 2024'!$O$25),"")</f>
        <v/>
      </c>
      <c r="AM28" s="55" t="str">
        <f>IF(AND('Mapa Institucional 2024'!$Y$26="Media",'Mapa Institucional 2024'!$AA$26="Catastrófico"),CONCATENATE("R3C",'Mapa Institucional 2024'!$O$26),"")</f>
        <v/>
      </c>
      <c r="AN28" s="82"/>
      <c r="AO28" s="484"/>
      <c r="AP28" s="485"/>
      <c r="AQ28" s="485"/>
      <c r="AR28" s="485"/>
      <c r="AS28" s="485"/>
      <c r="AT28" s="486"/>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402"/>
      <c r="C29" s="402"/>
      <c r="D29" s="403"/>
      <c r="E29" s="443"/>
      <c r="F29" s="444"/>
      <c r="G29" s="444"/>
      <c r="H29" s="444"/>
      <c r="I29" s="445"/>
      <c r="J29" s="66" t="str">
        <f>IF(AND('Mapa Institucional 2024'!$Y$27="Media",'Mapa Institucional 2024'!$AA$27="Leve"),CONCATENATE("R4C",'Mapa Institucional 2024'!$O$27),"")</f>
        <v/>
      </c>
      <c r="K29" s="67" t="str">
        <f>IF(AND('Mapa Institucional 2024'!$Y$28="Media",'Mapa Institucional 2024'!$AA$28="Leve"),CONCATENATE("R4C",'Mapa Institucional 2024'!$O$28),"")</f>
        <v/>
      </c>
      <c r="L29" s="67" t="str">
        <f>IF(AND('Mapa Institucional 2024'!$Y$29="Media",'Mapa Institucional 2024'!$AA$29="Leve"),CONCATENATE("R4C",'Mapa Institucional 2024'!$O$29),"")</f>
        <v/>
      </c>
      <c r="M29" s="67" t="str">
        <f>IF(AND('Mapa Institucional 2024'!$Y$30="Media",'Mapa Institucional 2024'!$AA$30="Leve"),CONCATENATE("R4C",'Mapa Institucional 2024'!$O$30),"")</f>
        <v/>
      </c>
      <c r="N29" s="67" t="str">
        <f>IF(AND('Mapa Institucional 2024'!$Y$31="Media",'Mapa Institucional 2024'!$AA$31="Leve"),CONCATENATE("R4C",'Mapa Institucional 2024'!$O$31),"")</f>
        <v/>
      </c>
      <c r="O29" s="68" t="str">
        <f>IF(AND('Mapa Institucional 2024'!$Y$32="Media",'Mapa Institucional 2024'!$AA$32="Leve"),CONCATENATE("R4C",'Mapa Institucional 2024'!$O$32),"")</f>
        <v/>
      </c>
      <c r="P29" s="66" t="str">
        <f>IF(AND('Mapa Institucional 2024'!$Y$27="Media",'Mapa Institucional 2024'!$AA$27="Menor"),CONCATENATE("R4C",'Mapa Institucional 2024'!$O$27),"")</f>
        <v/>
      </c>
      <c r="Q29" s="67" t="str">
        <f>IF(AND('Mapa Institucional 2024'!$Y$28="Media",'Mapa Institucional 2024'!$AA$28="Menor"),CONCATENATE("R4C",'Mapa Institucional 2024'!$O$28),"")</f>
        <v/>
      </c>
      <c r="R29" s="67" t="str">
        <f>IF(AND('Mapa Institucional 2024'!$Y$29="Media",'Mapa Institucional 2024'!$AA$29="Menor"),CONCATENATE("R4C",'Mapa Institucional 2024'!$O$29),"")</f>
        <v/>
      </c>
      <c r="S29" s="67" t="str">
        <f>IF(AND('Mapa Institucional 2024'!$Y$30="Media",'Mapa Institucional 2024'!$AA$30="Menor"),CONCATENATE("R4C",'Mapa Institucional 2024'!$O$30),"")</f>
        <v/>
      </c>
      <c r="T29" s="67" t="str">
        <f>IF(AND('Mapa Institucional 2024'!$Y$31="Media",'Mapa Institucional 2024'!$AA$31="Menor"),CONCATENATE("R4C",'Mapa Institucional 2024'!$O$31),"")</f>
        <v/>
      </c>
      <c r="U29" s="68" t="str">
        <f>IF(AND('Mapa Institucional 2024'!$Y$32="Media",'Mapa Institucional 2024'!$AA$32="Menor"),CONCATENATE("R4C",'Mapa Institucional 2024'!$O$32),"")</f>
        <v/>
      </c>
      <c r="V29" s="66" t="str">
        <f>IF(AND('Mapa Institucional 2024'!$Y$27="Media",'Mapa Institucional 2024'!$AA$27="Moderado"),CONCATENATE("R4C",'Mapa Institucional 2024'!$O$27),"")</f>
        <v/>
      </c>
      <c r="W29" s="67" t="str">
        <f>IF(AND('Mapa Institucional 2024'!$Y$28="Media",'Mapa Institucional 2024'!$AA$28="Moderado"),CONCATENATE("R4C",'Mapa Institucional 2024'!$O$28),"")</f>
        <v/>
      </c>
      <c r="X29" s="67" t="str">
        <f>IF(AND('Mapa Institucional 2024'!$Y$29="Media",'Mapa Institucional 2024'!$AA$29="Moderado"),CONCATENATE("R4C",'Mapa Institucional 2024'!$O$29),"")</f>
        <v/>
      </c>
      <c r="Y29" s="67" t="str">
        <f>IF(AND('Mapa Institucional 2024'!$Y$30="Media",'Mapa Institucional 2024'!$AA$30="Moderado"),CONCATENATE("R4C",'Mapa Institucional 2024'!$O$30),"")</f>
        <v/>
      </c>
      <c r="Z29" s="67" t="str">
        <f>IF(AND('Mapa Institucional 2024'!$Y$31="Media",'Mapa Institucional 2024'!$AA$31="Moderado"),CONCATENATE("R4C",'Mapa Institucional 2024'!$O$31),"")</f>
        <v/>
      </c>
      <c r="AA29" s="68" t="str">
        <f>IF(AND('Mapa Institucional 2024'!$Y$32="Media",'Mapa Institucional 2024'!$AA$32="Moderado"),CONCATENATE("R4C",'Mapa Institucional 2024'!$O$32),"")</f>
        <v/>
      </c>
      <c r="AB29" s="50" t="str">
        <f>IF(AND('Mapa Institucional 2024'!$Y$27="Media",'Mapa Institucional 2024'!$AA$27="Mayor"),CONCATENATE("R4C",'Mapa Institucional 2024'!$O$27),"")</f>
        <v/>
      </c>
      <c r="AC29" s="51" t="str">
        <f>IF(AND('Mapa Institucional 2024'!$Y$28="Media",'Mapa Institucional 2024'!$AA$28="Mayor"),CONCATENATE("R4C",'Mapa Institucional 2024'!$O$28),"")</f>
        <v/>
      </c>
      <c r="AD29" s="56" t="str">
        <f>IF(AND('Mapa Institucional 2024'!$Y$29="Media",'Mapa Institucional 2024'!$AA$29="Mayor"),CONCATENATE("R4C",'Mapa Institucional 2024'!$O$29),"")</f>
        <v/>
      </c>
      <c r="AE29" s="56" t="str">
        <f>IF(AND('Mapa Institucional 2024'!$Y$30="Media",'Mapa Institucional 2024'!$AA$30="Mayor"),CONCATENATE("R4C",'Mapa Institucional 2024'!$O$30),"")</f>
        <v/>
      </c>
      <c r="AF29" s="56" t="str">
        <f>IF(AND('Mapa Institucional 2024'!$Y$31="Media",'Mapa Institucional 2024'!$AA$31="Mayor"),CONCATENATE("R4C",'Mapa Institucional 2024'!$O$31),"")</f>
        <v/>
      </c>
      <c r="AG29" s="52" t="str">
        <f>IF(AND('Mapa Institucional 2024'!$Y$32="Media",'Mapa Institucional 2024'!$AA$32="Mayor"),CONCATENATE("R4C",'Mapa Institucional 2024'!$O$32),"")</f>
        <v/>
      </c>
      <c r="AH29" s="53" t="str">
        <f>IF(AND('Mapa Institucional 2024'!$Y$27="Media",'Mapa Institucional 2024'!$AA$27="Catastrófico"),CONCATENATE("R4C",'Mapa Institucional 2024'!$O$27),"")</f>
        <v/>
      </c>
      <c r="AI29" s="54" t="str">
        <f>IF(AND('Mapa Institucional 2024'!$Y$28="Media",'Mapa Institucional 2024'!$AA$28="Catastrófico"),CONCATENATE("R4C",'Mapa Institucional 2024'!$O$28),"")</f>
        <v/>
      </c>
      <c r="AJ29" s="54" t="str">
        <f>IF(AND('Mapa Institucional 2024'!$Y$29="Media",'Mapa Institucional 2024'!$AA$29="Catastrófico"),CONCATENATE("R4C",'Mapa Institucional 2024'!$O$29),"")</f>
        <v/>
      </c>
      <c r="AK29" s="54" t="str">
        <f>IF(AND('Mapa Institucional 2024'!$Y$30="Media",'Mapa Institucional 2024'!$AA$30="Catastrófico"),CONCATENATE("R4C",'Mapa Institucional 2024'!$O$30),"")</f>
        <v/>
      </c>
      <c r="AL29" s="54" t="str">
        <f>IF(AND('Mapa Institucional 2024'!$Y$31="Media",'Mapa Institucional 2024'!$AA$31="Catastrófico"),CONCATENATE("R4C",'Mapa Institucional 2024'!$O$31),"")</f>
        <v/>
      </c>
      <c r="AM29" s="55" t="str">
        <f>IF(AND('Mapa Institucional 2024'!$Y$32="Media",'Mapa Institucional 2024'!$AA$32="Catastrófico"),CONCATENATE("R4C",'Mapa Institucional 2024'!$O$32),"")</f>
        <v/>
      </c>
      <c r="AN29" s="82"/>
      <c r="AO29" s="484"/>
      <c r="AP29" s="485"/>
      <c r="AQ29" s="485"/>
      <c r="AR29" s="485"/>
      <c r="AS29" s="485"/>
      <c r="AT29" s="486"/>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402"/>
      <c r="C30" s="402"/>
      <c r="D30" s="403"/>
      <c r="E30" s="443"/>
      <c r="F30" s="444"/>
      <c r="G30" s="444"/>
      <c r="H30" s="444"/>
      <c r="I30" s="445"/>
      <c r="J30" s="66" t="str">
        <f>IF(AND('Mapa Institucional 2024'!$Y$33="Media",'Mapa Institucional 2024'!$AA$33="Leve"),CONCATENATE("R5C",'Mapa Institucional 2024'!$O$33),"")</f>
        <v/>
      </c>
      <c r="K30" s="67" t="str">
        <f>IF(AND('Mapa Institucional 2024'!$Y$34="Media",'Mapa Institucional 2024'!$AA$34="Leve"),CONCATENATE("R5C",'Mapa Institucional 2024'!$O$34),"")</f>
        <v/>
      </c>
      <c r="L30" s="67" t="str">
        <f>IF(AND('Mapa Institucional 2024'!$Y$35="Media",'Mapa Institucional 2024'!$AA$35="Leve"),CONCATENATE("R5C",'Mapa Institucional 2024'!$O$35),"")</f>
        <v/>
      </c>
      <c r="M30" s="67" t="str">
        <f>IF(AND('Mapa Institucional 2024'!$Y$36="Media",'Mapa Institucional 2024'!$AA$36="Leve"),CONCATENATE("R5C",'Mapa Institucional 2024'!$O$36),"")</f>
        <v/>
      </c>
      <c r="N30" s="67" t="str">
        <f>IF(AND('Mapa Institucional 2024'!$Y$37="Media",'Mapa Institucional 2024'!$AA$37="Leve"),CONCATENATE("R5C",'Mapa Institucional 2024'!$O$37),"")</f>
        <v/>
      </c>
      <c r="O30" s="68" t="str">
        <f>IF(AND('Mapa Institucional 2024'!$Y$38="Media",'Mapa Institucional 2024'!$AA$38="Leve"),CONCATENATE("R5C",'Mapa Institucional 2024'!$O$38),"")</f>
        <v/>
      </c>
      <c r="P30" s="66" t="str">
        <f>IF(AND('Mapa Institucional 2024'!$Y$33="Media",'Mapa Institucional 2024'!$AA$33="Menor"),CONCATENATE("R5C",'Mapa Institucional 2024'!$O$33),"")</f>
        <v/>
      </c>
      <c r="Q30" s="67" t="str">
        <f>IF(AND('Mapa Institucional 2024'!$Y$34="Media",'Mapa Institucional 2024'!$AA$34="Menor"),CONCATENATE("R5C",'Mapa Institucional 2024'!$O$34),"")</f>
        <v/>
      </c>
      <c r="R30" s="67" t="str">
        <f>IF(AND('Mapa Institucional 2024'!$Y$35="Media",'Mapa Institucional 2024'!$AA$35="Menor"),CONCATENATE("R5C",'Mapa Institucional 2024'!$O$35),"")</f>
        <v/>
      </c>
      <c r="S30" s="67" t="str">
        <f>IF(AND('Mapa Institucional 2024'!$Y$36="Media",'Mapa Institucional 2024'!$AA$36="Menor"),CONCATENATE("R5C",'Mapa Institucional 2024'!$O$36),"")</f>
        <v/>
      </c>
      <c r="T30" s="67" t="str">
        <f>IF(AND('Mapa Institucional 2024'!$Y$37="Media",'Mapa Institucional 2024'!$AA$37="Menor"),CONCATENATE("R5C",'Mapa Institucional 2024'!$O$37),"")</f>
        <v/>
      </c>
      <c r="U30" s="68" t="str">
        <f>IF(AND('Mapa Institucional 2024'!$Y$38="Media",'Mapa Institucional 2024'!$AA$38="Menor"),CONCATENATE("R5C",'Mapa Institucional 2024'!$O$38),"")</f>
        <v/>
      </c>
      <c r="V30" s="66" t="str">
        <f>IF(AND('Mapa Institucional 2024'!$Y$33="Media",'Mapa Institucional 2024'!$AA$33="Moderado"),CONCATENATE("R5C",'Mapa Institucional 2024'!$O$33),"")</f>
        <v/>
      </c>
      <c r="W30" s="67" t="str">
        <f>IF(AND('Mapa Institucional 2024'!$Y$34="Media",'Mapa Institucional 2024'!$AA$34="Moderado"),CONCATENATE("R5C",'Mapa Institucional 2024'!$O$34),"")</f>
        <v/>
      </c>
      <c r="X30" s="67" t="str">
        <f>IF(AND('Mapa Institucional 2024'!$Y$35="Media",'Mapa Institucional 2024'!$AA$35="Moderado"),CONCATENATE("R5C",'Mapa Institucional 2024'!$O$35),"")</f>
        <v/>
      </c>
      <c r="Y30" s="67" t="str">
        <f>IF(AND('Mapa Institucional 2024'!$Y$36="Media",'Mapa Institucional 2024'!$AA$36="Moderado"),CONCATENATE("R5C",'Mapa Institucional 2024'!$O$36),"")</f>
        <v/>
      </c>
      <c r="Z30" s="67" t="str">
        <f>IF(AND('Mapa Institucional 2024'!$Y$37="Media",'Mapa Institucional 2024'!$AA$37="Moderado"),CONCATENATE("R5C",'Mapa Institucional 2024'!$O$37),"")</f>
        <v/>
      </c>
      <c r="AA30" s="68" t="str">
        <f>IF(AND('Mapa Institucional 2024'!$Y$38="Media",'Mapa Institucional 2024'!$AA$38="Moderado"),CONCATENATE("R5C",'Mapa Institucional 2024'!$O$38),"")</f>
        <v/>
      </c>
      <c r="AB30" s="50" t="str">
        <f>IF(AND('Mapa Institucional 2024'!$Y$33="Media",'Mapa Institucional 2024'!$AA$33="Mayor"),CONCATENATE("R5C",'Mapa Institucional 2024'!$O$33),"")</f>
        <v/>
      </c>
      <c r="AC30" s="51" t="str">
        <f>IF(AND('Mapa Institucional 2024'!$Y$34="Media",'Mapa Institucional 2024'!$AA$34="Mayor"),CONCATENATE("R5C",'Mapa Institucional 2024'!$O$34),"")</f>
        <v/>
      </c>
      <c r="AD30" s="56" t="str">
        <f>IF(AND('Mapa Institucional 2024'!$Y$35="Media",'Mapa Institucional 2024'!$AA$35="Mayor"),CONCATENATE("R5C",'Mapa Institucional 2024'!$O$35),"")</f>
        <v/>
      </c>
      <c r="AE30" s="56" t="str">
        <f>IF(AND('Mapa Institucional 2024'!$Y$36="Media",'Mapa Institucional 2024'!$AA$36="Mayor"),CONCATENATE("R5C",'Mapa Institucional 2024'!$O$36),"")</f>
        <v/>
      </c>
      <c r="AF30" s="56" t="str">
        <f>IF(AND('Mapa Institucional 2024'!$Y$37="Media",'Mapa Institucional 2024'!$AA$37="Mayor"),CONCATENATE("R5C",'Mapa Institucional 2024'!$O$37),"")</f>
        <v/>
      </c>
      <c r="AG30" s="52" t="str">
        <f>IF(AND('Mapa Institucional 2024'!$Y$38="Media",'Mapa Institucional 2024'!$AA$38="Mayor"),CONCATENATE("R5C",'Mapa Institucional 2024'!$O$38),"")</f>
        <v/>
      </c>
      <c r="AH30" s="53" t="str">
        <f>IF(AND('Mapa Institucional 2024'!$Y$33="Media",'Mapa Institucional 2024'!$AA$33="Catastrófico"),CONCATENATE("R5C",'Mapa Institucional 2024'!$O$33),"")</f>
        <v/>
      </c>
      <c r="AI30" s="54" t="str">
        <f>IF(AND('Mapa Institucional 2024'!$Y$34="Media",'Mapa Institucional 2024'!$AA$34="Catastrófico"),CONCATENATE("R5C",'Mapa Institucional 2024'!$O$34),"")</f>
        <v/>
      </c>
      <c r="AJ30" s="54" t="str">
        <f>IF(AND('Mapa Institucional 2024'!$Y$35="Media",'Mapa Institucional 2024'!$AA$35="Catastrófico"),CONCATENATE("R5C",'Mapa Institucional 2024'!$O$35),"")</f>
        <v/>
      </c>
      <c r="AK30" s="54" t="str">
        <f>IF(AND('Mapa Institucional 2024'!$Y$36="Media",'Mapa Institucional 2024'!$AA$36="Catastrófico"),CONCATENATE("R5C",'Mapa Institucional 2024'!$O$36),"")</f>
        <v/>
      </c>
      <c r="AL30" s="54" t="str">
        <f>IF(AND('Mapa Institucional 2024'!$Y$37="Media",'Mapa Institucional 2024'!$AA$37="Catastrófico"),CONCATENATE("R5C",'Mapa Institucional 2024'!$O$37),"")</f>
        <v/>
      </c>
      <c r="AM30" s="55" t="str">
        <f>IF(AND('Mapa Institucional 2024'!$Y$38="Media",'Mapa Institucional 2024'!$AA$38="Catastrófico"),CONCATENATE("R5C",'Mapa Institucional 2024'!$O$38),"")</f>
        <v/>
      </c>
      <c r="AN30" s="82"/>
      <c r="AO30" s="484"/>
      <c r="AP30" s="485"/>
      <c r="AQ30" s="485"/>
      <c r="AR30" s="485"/>
      <c r="AS30" s="485"/>
      <c r="AT30" s="48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402"/>
      <c r="C31" s="402"/>
      <c r="D31" s="403"/>
      <c r="E31" s="443"/>
      <c r="F31" s="444"/>
      <c r="G31" s="444"/>
      <c r="H31" s="444"/>
      <c r="I31" s="445"/>
      <c r="J31" s="66" t="str">
        <f>IF(AND('Mapa Institucional 2024'!$Y$39="Media",'Mapa Institucional 2024'!$AA$39="Leve"),CONCATENATE("R6C",'Mapa Institucional 2024'!$O$39),"")</f>
        <v/>
      </c>
      <c r="K31" s="67" t="str">
        <f>IF(AND('Mapa Institucional 2024'!$Y$40="Media",'Mapa Institucional 2024'!$AA$40="Leve"),CONCATENATE("R6C",'Mapa Institucional 2024'!$O$40),"")</f>
        <v/>
      </c>
      <c r="L31" s="67" t="str">
        <f>IF(AND('Mapa Institucional 2024'!$Y$41="Media",'Mapa Institucional 2024'!$AA$41="Leve"),CONCATENATE("R6C",'Mapa Institucional 2024'!$O$41),"")</f>
        <v/>
      </c>
      <c r="M31" s="67" t="str">
        <f>IF(AND('Mapa Institucional 2024'!$Y$42="Media",'Mapa Institucional 2024'!$AA$42="Leve"),CONCATENATE("R6C",'Mapa Institucional 2024'!$O$42),"")</f>
        <v/>
      </c>
      <c r="N31" s="67" t="str">
        <f>IF(AND('Mapa Institucional 2024'!$Y$43="Media",'Mapa Institucional 2024'!$AA$43="Leve"),CONCATENATE("R6C",'Mapa Institucional 2024'!$O$43),"")</f>
        <v/>
      </c>
      <c r="O31" s="68" t="str">
        <f>IF(AND('Mapa Institucional 2024'!$Y$44="Media",'Mapa Institucional 2024'!$AA$44="Leve"),CONCATENATE("R6C",'Mapa Institucional 2024'!$O$44),"")</f>
        <v/>
      </c>
      <c r="P31" s="66" t="str">
        <f>IF(AND('Mapa Institucional 2024'!$Y$39="Media",'Mapa Institucional 2024'!$AA$39="Menor"),CONCATENATE("R6C",'Mapa Institucional 2024'!$O$39),"")</f>
        <v/>
      </c>
      <c r="Q31" s="67" t="str">
        <f>IF(AND('Mapa Institucional 2024'!$Y$40="Media",'Mapa Institucional 2024'!$AA$40="Menor"),CONCATENATE("R6C",'Mapa Institucional 2024'!$O$40),"")</f>
        <v/>
      </c>
      <c r="R31" s="67" t="str">
        <f>IF(AND('Mapa Institucional 2024'!$Y$41="Media",'Mapa Institucional 2024'!$AA$41="Menor"),CONCATENATE("R6C",'Mapa Institucional 2024'!$O$41),"")</f>
        <v/>
      </c>
      <c r="S31" s="67" t="str">
        <f>IF(AND('Mapa Institucional 2024'!$Y$42="Media",'Mapa Institucional 2024'!$AA$42="Menor"),CONCATENATE("R6C",'Mapa Institucional 2024'!$O$42),"")</f>
        <v/>
      </c>
      <c r="T31" s="67" t="str">
        <f>IF(AND('Mapa Institucional 2024'!$Y$43="Media",'Mapa Institucional 2024'!$AA$43="Menor"),CONCATENATE("R6C",'Mapa Institucional 2024'!$O$43),"")</f>
        <v/>
      </c>
      <c r="U31" s="68" t="str">
        <f>IF(AND('Mapa Institucional 2024'!$Y$44="Media",'Mapa Institucional 2024'!$AA$44="Menor"),CONCATENATE("R6C",'Mapa Institucional 2024'!$O$44),"")</f>
        <v/>
      </c>
      <c r="V31" s="66" t="str">
        <f>IF(AND('Mapa Institucional 2024'!$Y$39="Media",'Mapa Institucional 2024'!$AA$39="Moderado"),CONCATENATE("R6C",'Mapa Institucional 2024'!$O$39),"")</f>
        <v/>
      </c>
      <c r="W31" s="67" t="str">
        <f>IF(AND('Mapa Institucional 2024'!$Y$40="Media",'Mapa Institucional 2024'!$AA$40="Moderado"),CONCATENATE("R6C",'Mapa Institucional 2024'!$O$40),"")</f>
        <v/>
      </c>
      <c r="X31" s="67" t="str">
        <f>IF(AND('Mapa Institucional 2024'!$Y$41="Media",'Mapa Institucional 2024'!$AA$41="Moderado"),CONCATENATE("R6C",'Mapa Institucional 2024'!$O$41),"")</f>
        <v/>
      </c>
      <c r="Y31" s="67" t="str">
        <f>IF(AND('Mapa Institucional 2024'!$Y$42="Media",'Mapa Institucional 2024'!$AA$42="Moderado"),CONCATENATE("R6C",'Mapa Institucional 2024'!$O$42),"")</f>
        <v/>
      </c>
      <c r="Z31" s="67" t="str">
        <f>IF(AND('Mapa Institucional 2024'!$Y$43="Media",'Mapa Institucional 2024'!$AA$43="Moderado"),CONCATENATE("R6C",'Mapa Institucional 2024'!$O$43),"")</f>
        <v/>
      </c>
      <c r="AA31" s="68" t="str">
        <f>IF(AND('Mapa Institucional 2024'!$Y$44="Media",'Mapa Institucional 2024'!$AA$44="Moderado"),CONCATENATE("R6C",'Mapa Institucional 2024'!$O$44),"")</f>
        <v/>
      </c>
      <c r="AB31" s="50" t="str">
        <f>IF(AND('Mapa Institucional 2024'!$Y$39="Media",'Mapa Institucional 2024'!$AA$39="Mayor"),CONCATENATE("R6C",'Mapa Institucional 2024'!$O$39),"")</f>
        <v/>
      </c>
      <c r="AC31" s="51" t="str">
        <f>IF(AND('Mapa Institucional 2024'!$Y$40="Media",'Mapa Institucional 2024'!$AA$40="Mayor"),CONCATENATE("R6C",'Mapa Institucional 2024'!$O$40),"")</f>
        <v/>
      </c>
      <c r="AD31" s="56" t="str">
        <f>IF(AND('Mapa Institucional 2024'!$Y$41="Media",'Mapa Institucional 2024'!$AA$41="Mayor"),CONCATENATE("R6C",'Mapa Institucional 2024'!$O$41),"")</f>
        <v/>
      </c>
      <c r="AE31" s="56" t="str">
        <f>IF(AND('Mapa Institucional 2024'!$Y$42="Media",'Mapa Institucional 2024'!$AA$42="Mayor"),CONCATENATE("R6C",'Mapa Institucional 2024'!$O$42),"")</f>
        <v/>
      </c>
      <c r="AF31" s="56" t="str">
        <f>IF(AND('Mapa Institucional 2024'!$Y$43="Media",'Mapa Institucional 2024'!$AA$43="Mayor"),CONCATENATE("R6C",'Mapa Institucional 2024'!$O$43),"")</f>
        <v/>
      </c>
      <c r="AG31" s="52" t="str">
        <f>IF(AND('Mapa Institucional 2024'!$Y$44="Media",'Mapa Institucional 2024'!$AA$44="Mayor"),CONCATENATE("R6C",'Mapa Institucional 2024'!$O$44),"")</f>
        <v/>
      </c>
      <c r="AH31" s="53" t="str">
        <f>IF(AND('Mapa Institucional 2024'!$Y$39="Media",'Mapa Institucional 2024'!$AA$39="Catastrófico"),CONCATENATE("R6C",'Mapa Institucional 2024'!$O$39),"")</f>
        <v/>
      </c>
      <c r="AI31" s="54" t="str">
        <f>IF(AND('Mapa Institucional 2024'!$Y$40="Media",'Mapa Institucional 2024'!$AA$40="Catastrófico"),CONCATENATE("R6C",'Mapa Institucional 2024'!$O$40),"")</f>
        <v/>
      </c>
      <c r="AJ31" s="54" t="str">
        <f>IF(AND('Mapa Institucional 2024'!$Y$41="Media",'Mapa Institucional 2024'!$AA$41="Catastrófico"),CONCATENATE("R6C",'Mapa Institucional 2024'!$O$41),"")</f>
        <v/>
      </c>
      <c r="AK31" s="54" t="str">
        <f>IF(AND('Mapa Institucional 2024'!$Y$42="Media",'Mapa Institucional 2024'!$AA$42="Catastrófico"),CONCATENATE("R6C",'Mapa Institucional 2024'!$O$42),"")</f>
        <v/>
      </c>
      <c r="AL31" s="54" t="str">
        <f>IF(AND('Mapa Institucional 2024'!$Y$43="Media",'Mapa Institucional 2024'!$AA$43="Catastrófico"),CONCATENATE("R6C",'Mapa Institucional 2024'!$O$43),"")</f>
        <v/>
      </c>
      <c r="AM31" s="55" t="str">
        <f>IF(AND('Mapa Institucional 2024'!$Y$44="Media",'Mapa Institucional 2024'!$AA$44="Catastrófico"),CONCATENATE("R6C",'Mapa Institucional 2024'!$O$44),"")</f>
        <v/>
      </c>
      <c r="AN31" s="82"/>
      <c r="AO31" s="484"/>
      <c r="AP31" s="485"/>
      <c r="AQ31" s="485"/>
      <c r="AR31" s="485"/>
      <c r="AS31" s="485"/>
      <c r="AT31" s="48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402"/>
      <c r="C32" s="402"/>
      <c r="D32" s="403"/>
      <c r="E32" s="443"/>
      <c r="F32" s="444"/>
      <c r="G32" s="444"/>
      <c r="H32" s="444"/>
      <c r="I32" s="445"/>
      <c r="J32" s="66" t="str">
        <f>IF(AND('Mapa Institucional 2024'!$Y$45="Media",'Mapa Institucional 2024'!$AA$45="Leve"),CONCATENATE("R7C",'Mapa Institucional 2024'!$O$45),"")</f>
        <v/>
      </c>
      <c r="K32" s="67" t="str">
        <f>IF(AND('Mapa Institucional 2024'!$Y$46="Media",'Mapa Institucional 2024'!$AA$46="Leve"),CONCATENATE("R7C",'Mapa Institucional 2024'!$O$46),"")</f>
        <v/>
      </c>
      <c r="L32" s="67" t="str">
        <f>IF(AND('Mapa Institucional 2024'!$Y$47="Media",'Mapa Institucional 2024'!$AA$47="Leve"),CONCATENATE("R7C",'Mapa Institucional 2024'!$O$47),"")</f>
        <v/>
      </c>
      <c r="M32" s="67" t="str">
        <f>IF(AND('Mapa Institucional 2024'!$Y$48="Media",'Mapa Institucional 2024'!$AA$48="Leve"),CONCATENATE("R7C",'Mapa Institucional 2024'!$O$48),"")</f>
        <v/>
      </c>
      <c r="N32" s="67" t="str">
        <f>IF(AND('Mapa Institucional 2024'!$Y$49="Media",'Mapa Institucional 2024'!$AA$49="Leve"),CONCATENATE("R7C",'Mapa Institucional 2024'!$O$49),"")</f>
        <v/>
      </c>
      <c r="O32" s="68" t="str">
        <f>IF(AND('Mapa Institucional 2024'!$Y$50="Media",'Mapa Institucional 2024'!$AA$50="Leve"),CONCATENATE("R7C",'Mapa Institucional 2024'!$O$50),"")</f>
        <v/>
      </c>
      <c r="P32" s="66" t="str">
        <f>IF(AND('Mapa Institucional 2024'!$Y$45="Media",'Mapa Institucional 2024'!$AA$45="Menor"),CONCATENATE("R7C",'Mapa Institucional 2024'!$O$45),"")</f>
        <v/>
      </c>
      <c r="Q32" s="67" t="str">
        <f>IF(AND('Mapa Institucional 2024'!$Y$46="Media",'Mapa Institucional 2024'!$AA$46="Menor"),CONCATENATE("R7C",'Mapa Institucional 2024'!$O$46),"")</f>
        <v/>
      </c>
      <c r="R32" s="67" t="str">
        <f>IF(AND('Mapa Institucional 2024'!$Y$47="Media",'Mapa Institucional 2024'!$AA$47="Menor"),CONCATENATE("R7C",'Mapa Institucional 2024'!$O$47),"")</f>
        <v/>
      </c>
      <c r="S32" s="67" t="str">
        <f>IF(AND('Mapa Institucional 2024'!$Y$48="Media",'Mapa Institucional 2024'!$AA$48="Menor"),CONCATENATE("R7C",'Mapa Institucional 2024'!$O$48),"")</f>
        <v/>
      </c>
      <c r="T32" s="67" t="str">
        <f>IF(AND('Mapa Institucional 2024'!$Y$49="Media",'Mapa Institucional 2024'!$AA$49="Menor"),CONCATENATE("R7C",'Mapa Institucional 2024'!$O$49),"")</f>
        <v/>
      </c>
      <c r="U32" s="68" t="str">
        <f>IF(AND('Mapa Institucional 2024'!$Y$50="Media",'Mapa Institucional 2024'!$AA$50="Menor"),CONCATENATE("R7C",'Mapa Institucional 2024'!$O$50),"")</f>
        <v/>
      </c>
      <c r="V32" s="66" t="str">
        <f>IF(AND('Mapa Institucional 2024'!$Y$45="Media",'Mapa Institucional 2024'!$AA$45="Moderado"),CONCATENATE("R7C",'Mapa Institucional 2024'!$O$45),"")</f>
        <v/>
      </c>
      <c r="W32" s="67" t="str">
        <f>IF(AND('Mapa Institucional 2024'!$Y$46="Media",'Mapa Institucional 2024'!$AA$46="Moderado"),CONCATENATE("R7C",'Mapa Institucional 2024'!$O$46),"")</f>
        <v/>
      </c>
      <c r="X32" s="67" t="str">
        <f>IF(AND('Mapa Institucional 2024'!$Y$47="Media",'Mapa Institucional 2024'!$AA$47="Moderado"),CONCATENATE("R7C",'Mapa Institucional 2024'!$O$47),"")</f>
        <v/>
      </c>
      <c r="Y32" s="67" t="str">
        <f>IF(AND('Mapa Institucional 2024'!$Y$48="Media",'Mapa Institucional 2024'!$AA$48="Moderado"),CONCATENATE("R7C",'Mapa Institucional 2024'!$O$48),"")</f>
        <v/>
      </c>
      <c r="Z32" s="67" t="str">
        <f>IF(AND('Mapa Institucional 2024'!$Y$49="Media",'Mapa Institucional 2024'!$AA$49="Moderado"),CONCATENATE("R7C",'Mapa Institucional 2024'!$O$49),"")</f>
        <v/>
      </c>
      <c r="AA32" s="68" t="str">
        <f>IF(AND('Mapa Institucional 2024'!$Y$50="Media",'Mapa Institucional 2024'!$AA$50="Moderado"),CONCATENATE("R7C",'Mapa Institucional 2024'!$O$50),"")</f>
        <v/>
      </c>
      <c r="AB32" s="50" t="str">
        <f>IF(AND('Mapa Institucional 2024'!$Y$45="Media",'Mapa Institucional 2024'!$AA$45="Mayor"),CONCATENATE("R7C",'Mapa Institucional 2024'!$O$45),"")</f>
        <v/>
      </c>
      <c r="AC32" s="51" t="str">
        <f>IF(AND('Mapa Institucional 2024'!$Y$46="Media",'Mapa Institucional 2024'!$AA$46="Mayor"),CONCATENATE("R7C",'Mapa Institucional 2024'!$O$46),"")</f>
        <v/>
      </c>
      <c r="AD32" s="56" t="str">
        <f>IF(AND('Mapa Institucional 2024'!$Y$47="Media",'Mapa Institucional 2024'!$AA$47="Mayor"),CONCATENATE("R7C",'Mapa Institucional 2024'!$O$47),"")</f>
        <v/>
      </c>
      <c r="AE32" s="56" t="str">
        <f>IF(AND('Mapa Institucional 2024'!$Y$48="Media",'Mapa Institucional 2024'!$AA$48="Mayor"),CONCATENATE("R7C",'Mapa Institucional 2024'!$O$48),"")</f>
        <v/>
      </c>
      <c r="AF32" s="56" t="str">
        <f>IF(AND('Mapa Institucional 2024'!$Y$49="Media",'Mapa Institucional 2024'!$AA$49="Mayor"),CONCATENATE("R7C",'Mapa Institucional 2024'!$O$49),"")</f>
        <v/>
      </c>
      <c r="AG32" s="52" t="str">
        <f>IF(AND('Mapa Institucional 2024'!$Y$50="Media",'Mapa Institucional 2024'!$AA$50="Mayor"),CONCATENATE("R7C",'Mapa Institucional 2024'!$O$50),"")</f>
        <v/>
      </c>
      <c r="AH32" s="53" t="str">
        <f>IF(AND('Mapa Institucional 2024'!$Y$45="Media",'Mapa Institucional 2024'!$AA$45="Catastrófico"),CONCATENATE("R7C",'Mapa Institucional 2024'!$O$45),"")</f>
        <v/>
      </c>
      <c r="AI32" s="54" t="str">
        <f>IF(AND('Mapa Institucional 2024'!$Y$46="Media",'Mapa Institucional 2024'!$AA$46="Catastrófico"),CONCATENATE("R7C",'Mapa Institucional 2024'!$O$46),"")</f>
        <v/>
      </c>
      <c r="AJ32" s="54" t="str">
        <f>IF(AND('Mapa Institucional 2024'!$Y$47="Media",'Mapa Institucional 2024'!$AA$47="Catastrófico"),CONCATENATE("R7C",'Mapa Institucional 2024'!$O$47),"")</f>
        <v/>
      </c>
      <c r="AK32" s="54" t="str">
        <f>IF(AND('Mapa Institucional 2024'!$Y$48="Media",'Mapa Institucional 2024'!$AA$48="Catastrófico"),CONCATENATE("R7C",'Mapa Institucional 2024'!$O$48),"")</f>
        <v/>
      </c>
      <c r="AL32" s="54" t="str">
        <f>IF(AND('Mapa Institucional 2024'!$Y$49="Media",'Mapa Institucional 2024'!$AA$49="Catastrófico"),CONCATENATE("R7C",'Mapa Institucional 2024'!$O$49),"")</f>
        <v/>
      </c>
      <c r="AM32" s="55" t="str">
        <f>IF(AND('Mapa Institucional 2024'!$Y$50="Media",'Mapa Institucional 2024'!$AA$50="Catastrófico"),CONCATENATE("R7C",'Mapa Institucional 2024'!$O$50),"")</f>
        <v/>
      </c>
      <c r="AN32" s="82"/>
      <c r="AO32" s="484"/>
      <c r="AP32" s="485"/>
      <c r="AQ32" s="485"/>
      <c r="AR32" s="485"/>
      <c r="AS32" s="485"/>
      <c r="AT32" s="48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402"/>
      <c r="C33" s="402"/>
      <c r="D33" s="403"/>
      <c r="E33" s="443"/>
      <c r="F33" s="444"/>
      <c r="G33" s="444"/>
      <c r="H33" s="444"/>
      <c r="I33" s="445"/>
      <c r="J33" s="66" t="str">
        <f>IF(AND('Mapa Institucional 2024'!$Y$51="Media",'Mapa Institucional 2024'!$AA$51="Leve"),CONCATENATE("R8C",'Mapa Institucional 2024'!$O$51),"")</f>
        <v/>
      </c>
      <c r="K33" s="67" t="str">
        <f>IF(AND('Mapa Institucional 2024'!$Y$52="Media",'Mapa Institucional 2024'!$AA$52="Leve"),CONCATENATE("R8C",'Mapa Institucional 2024'!$O$52),"")</f>
        <v/>
      </c>
      <c r="L33" s="67" t="str">
        <f>IF(AND('Mapa Institucional 2024'!$Y$53="Media",'Mapa Institucional 2024'!$AA$53="Leve"),CONCATENATE("R8C",'Mapa Institucional 2024'!$O$53),"")</f>
        <v/>
      </c>
      <c r="M33" s="67" t="str">
        <f>IF(AND('Mapa Institucional 2024'!$Y$54="Media",'Mapa Institucional 2024'!$AA$54="Leve"),CONCATENATE("R8C",'Mapa Institucional 2024'!$O$54),"")</f>
        <v/>
      </c>
      <c r="N33" s="67" t="str">
        <f>IF(AND('Mapa Institucional 2024'!$Y$55="Media",'Mapa Institucional 2024'!$AA$55="Leve"),CONCATENATE("R8C",'Mapa Institucional 2024'!$O$55),"")</f>
        <v/>
      </c>
      <c r="O33" s="68" t="str">
        <f>IF(AND('Mapa Institucional 2024'!$Y$56="Media",'Mapa Institucional 2024'!$AA$56="Leve"),CONCATENATE("R8C",'Mapa Institucional 2024'!$O$56),"")</f>
        <v/>
      </c>
      <c r="P33" s="66" t="str">
        <f>IF(AND('Mapa Institucional 2024'!$Y$51="Media",'Mapa Institucional 2024'!$AA$51="Menor"),CONCATENATE("R8C",'Mapa Institucional 2024'!$O$51),"")</f>
        <v/>
      </c>
      <c r="Q33" s="67" t="str">
        <f>IF(AND('Mapa Institucional 2024'!$Y$52="Media",'Mapa Institucional 2024'!$AA$52="Menor"),CONCATENATE("R8C",'Mapa Institucional 2024'!$O$52),"")</f>
        <v/>
      </c>
      <c r="R33" s="67" t="str">
        <f>IF(AND('Mapa Institucional 2024'!$Y$53="Media",'Mapa Institucional 2024'!$AA$53="Menor"),CONCATENATE("R8C",'Mapa Institucional 2024'!$O$53),"")</f>
        <v/>
      </c>
      <c r="S33" s="67" t="str">
        <f>IF(AND('Mapa Institucional 2024'!$Y$54="Media",'Mapa Institucional 2024'!$AA$54="Menor"),CONCATENATE("R8C",'Mapa Institucional 2024'!$O$54),"")</f>
        <v/>
      </c>
      <c r="T33" s="67" t="str">
        <f>IF(AND('Mapa Institucional 2024'!$Y$55="Media",'Mapa Institucional 2024'!$AA$55="Menor"),CONCATENATE("R8C",'Mapa Institucional 2024'!$O$55),"")</f>
        <v/>
      </c>
      <c r="U33" s="68" t="str">
        <f>IF(AND('Mapa Institucional 2024'!$Y$56="Media",'Mapa Institucional 2024'!$AA$56="Menor"),CONCATENATE("R8C",'Mapa Institucional 2024'!$O$56),"")</f>
        <v/>
      </c>
      <c r="V33" s="66" t="str">
        <f>IF(AND('Mapa Institucional 2024'!$Y$51="Media",'Mapa Institucional 2024'!$AA$51="Moderado"),CONCATENATE("R8C",'Mapa Institucional 2024'!$O$51),"")</f>
        <v/>
      </c>
      <c r="W33" s="67" t="str">
        <f>IF(AND('Mapa Institucional 2024'!$Y$52="Media",'Mapa Institucional 2024'!$AA$52="Moderado"),CONCATENATE("R8C",'Mapa Institucional 2024'!$O$52),"")</f>
        <v/>
      </c>
      <c r="X33" s="67" t="str">
        <f>IF(AND('Mapa Institucional 2024'!$Y$53="Media",'Mapa Institucional 2024'!$AA$53="Moderado"),CONCATENATE("R8C",'Mapa Institucional 2024'!$O$53),"")</f>
        <v/>
      </c>
      <c r="Y33" s="67" t="str">
        <f>IF(AND('Mapa Institucional 2024'!$Y$54="Media",'Mapa Institucional 2024'!$AA$54="Moderado"),CONCATENATE("R8C",'Mapa Institucional 2024'!$O$54),"")</f>
        <v/>
      </c>
      <c r="Z33" s="67" t="str">
        <f>IF(AND('Mapa Institucional 2024'!$Y$55="Media",'Mapa Institucional 2024'!$AA$55="Moderado"),CONCATENATE("R8C",'Mapa Institucional 2024'!$O$55),"")</f>
        <v/>
      </c>
      <c r="AA33" s="68" t="str">
        <f>IF(AND('Mapa Institucional 2024'!$Y$56="Media",'Mapa Institucional 2024'!$AA$56="Moderado"),CONCATENATE("R8C",'Mapa Institucional 2024'!$O$56),"")</f>
        <v/>
      </c>
      <c r="AB33" s="50" t="str">
        <f>IF(AND('Mapa Institucional 2024'!$Y$51="Media",'Mapa Institucional 2024'!$AA$51="Mayor"),CONCATENATE("R8C",'Mapa Institucional 2024'!$O$51),"")</f>
        <v/>
      </c>
      <c r="AC33" s="51" t="str">
        <f>IF(AND('Mapa Institucional 2024'!$Y$52="Media",'Mapa Institucional 2024'!$AA$52="Mayor"),CONCATENATE("R8C",'Mapa Institucional 2024'!$O$52),"")</f>
        <v/>
      </c>
      <c r="AD33" s="56" t="str">
        <f>IF(AND('Mapa Institucional 2024'!$Y$53="Media",'Mapa Institucional 2024'!$AA$53="Mayor"),CONCATENATE("R8C",'Mapa Institucional 2024'!$O$53),"")</f>
        <v/>
      </c>
      <c r="AE33" s="56" t="str">
        <f>IF(AND('Mapa Institucional 2024'!$Y$54="Media",'Mapa Institucional 2024'!$AA$54="Mayor"),CONCATENATE("R8C",'Mapa Institucional 2024'!$O$54),"")</f>
        <v/>
      </c>
      <c r="AF33" s="56" t="str">
        <f>IF(AND('Mapa Institucional 2024'!$Y$55="Media",'Mapa Institucional 2024'!$AA$55="Mayor"),CONCATENATE("R8C",'Mapa Institucional 2024'!$O$55),"")</f>
        <v/>
      </c>
      <c r="AG33" s="52" t="str">
        <f>IF(AND('Mapa Institucional 2024'!$Y$56="Media",'Mapa Institucional 2024'!$AA$56="Mayor"),CONCATENATE("R8C",'Mapa Institucional 2024'!$O$56),"")</f>
        <v/>
      </c>
      <c r="AH33" s="53" t="str">
        <f>IF(AND('Mapa Institucional 2024'!$Y$51="Media",'Mapa Institucional 2024'!$AA$51="Catastrófico"),CONCATENATE("R8C",'Mapa Institucional 2024'!$O$51),"")</f>
        <v/>
      </c>
      <c r="AI33" s="54" t="str">
        <f>IF(AND('Mapa Institucional 2024'!$Y$52="Media",'Mapa Institucional 2024'!$AA$52="Catastrófico"),CONCATENATE("R8C",'Mapa Institucional 2024'!$O$52),"")</f>
        <v/>
      </c>
      <c r="AJ33" s="54" t="str">
        <f>IF(AND('Mapa Institucional 2024'!$Y$53="Media",'Mapa Institucional 2024'!$AA$53="Catastrófico"),CONCATENATE("R8C",'Mapa Institucional 2024'!$O$53),"")</f>
        <v/>
      </c>
      <c r="AK33" s="54" t="str">
        <f>IF(AND('Mapa Institucional 2024'!$Y$54="Media",'Mapa Institucional 2024'!$AA$54="Catastrófico"),CONCATENATE("R8C",'Mapa Institucional 2024'!$O$54),"")</f>
        <v/>
      </c>
      <c r="AL33" s="54" t="str">
        <f>IF(AND('Mapa Institucional 2024'!$Y$55="Media",'Mapa Institucional 2024'!$AA$55="Catastrófico"),CONCATENATE("R8C",'Mapa Institucional 2024'!$O$55),"")</f>
        <v/>
      </c>
      <c r="AM33" s="55" t="str">
        <f>IF(AND('Mapa Institucional 2024'!$Y$56="Media",'Mapa Institucional 2024'!$AA$56="Catastrófico"),CONCATENATE("R8C",'Mapa Institucional 2024'!$O$56),"")</f>
        <v/>
      </c>
      <c r="AN33" s="82"/>
      <c r="AO33" s="484"/>
      <c r="AP33" s="485"/>
      <c r="AQ33" s="485"/>
      <c r="AR33" s="485"/>
      <c r="AS33" s="485"/>
      <c r="AT33" s="48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402"/>
      <c r="C34" s="402"/>
      <c r="D34" s="403"/>
      <c r="E34" s="443"/>
      <c r="F34" s="444"/>
      <c r="G34" s="444"/>
      <c r="H34" s="444"/>
      <c r="I34" s="445"/>
      <c r="J34" s="66" t="str">
        <f>IF(AND('Mapa Institucional 2024'!$Y$57="Media",'Mapa Institucional 2024'!$AA$57="Leve"),CONCATENATE("R9C",'Mapa Institucional 2024'!$O$57),"")</f>
        <v/>
      </c>
      <c r="K34" s="67" t="str">
        <f>IF(AND('Mapa Institucional 2024'!$Y$58="Media",'Mapa Institucional 2024'!$AA$58="Leve"),CONCATENATE("R9C",'Mapa Institucional 2024'!$O$58),"")</f>
        <v/>
      </c>
      <c r="L34" s="67" t="str">
        <f>IF(AND('Mapa Institucional 2024'!$Y$59="Media",'Mapa Institucional 2024'!$AA$59="Leve"),CONCATENATE("R9C",'Mapa Institucional 2024'!$O$59),"")</f>
        <v/>
      </c>
      <c r="M34" s="67" t="str">
        <f>IF(AND('Mapa Institucional 2024'!$Y$60="Media",'Mapa Institucional 2024'!$AA$60="Leve"),CONCATENATE("R9C",'Mapa Institucional 2024'!$O$60),"")</f>
        <v/>
      </c>
      <c r="N34" s="67" t="str">
        <f>IF(AND('Mapa Institucional 2024'!$Y$61="Media",'Mapa Institucional 2024'!$AA$61="Leve"),CONCATENATE("R9C",'Mapa Institucional 2024'!$O$61),"")</f>
        <v/>
      </c>
      <c r="O34" s="68" t="str">
        <f>IF(AND('Mapa Institucional 2024'!$Y$62="Media",'Mapa Institucional 2024'!$AA$62="Leve"),CONCATENATE("R9C",'Mapa Institucional 2024'!$O$62),"")</f>
        <v/>
      </c>
      <c r="P34" s="66" t="str">
        <f>IF(AND('Mapa Institucional 2024'!$Y$57="Media",'Mapa Institucional 2024'!$AA$57="Menor"),CONCATENATE("R9C",'Mapa Institucional 2024'!$O$57),"")</f>
        <v/>
      </c>
      <c r="Q34" s="67" t="str">
        <f>IF(AND('Mapa Institucional 2024'!$Y$58="Media",'Mapa Institucional 2024'!$AA$58="Menor"),CONCATENATE("R9C",'Mapa Institucional 2024'!$O$58),"")</f>
        <v/>
      </c>
      <c r="R34" s="67" t="str">
        <f>IF(AND('Mapa Institucional 2024'!$Y$59="Media",'Mapa Institucional 2024'!$AA$59="Menor"),CONCATENATE("R9C",'Mapa Institucional 2024'!$O$59),"")</f>
        <v/>
      </c>
      <c r="S34" s="67" t="str">
        <f>IF(AND('Mapa Institucional 2024'!$Y$60="Media",'Mapa Institucional 2024'!$AA$60="Menor"),CONCATENATE("R9C",'Mapa Institucional 2024'!$O$60),"")</f>
        <v/>
      </c>
      <c r="T34" s="67" t="str">
        <f>IF(AND('Mapa Institucional 2024'!$Y$61="Media",'Mapa Institucional 2024'!$AA$61="Menor"),CONCATENATE("R9C",'Mapa Institucional 2024'!$O$61),"")</f>
        <v/>
      </c>
      <c r="U34" s="68" t="str">
        <f>IF(AND('Mapa Institucional 2024'!$Y$62="Media",'Mapa Institucional 2024'!$AA$62="Menor"),CONCATENATE("R9C",'Mapa Institucional 2024'!$O$62),"")</f>
        <v/>
      </c>
      <c r="V34" s="66" t="str">
        <f>IF(AND('Mapa Institucional 2024'!$Y$57="Media",'Mapa Institucional 2024'!$AA$57="Moderado"),CONCATENATE("R9C",'Mapa Institucional 2024'!$O$57),"")</f>
        <v/>
      </c>
      <c r="W34" s="67" t="str">
        <f>IF(AND('Mapa Institucional 2024'!$Y$58="Media",'Mapa Institucional 2024'!$AA$58="Moderado"),CONCATENATE("R9C",'Mapa Institucional 2024'!$O$58),"")</f>
        <v/>
      </c>
      <c r="X34" s="67" t="str">
        <f>IF(AND('Mapa Institucional 2024'!$Y$59="Media",'Mapa Institucional 2024'!$AA$59="Moderado"),CONCATENATE("R9C",'Mapa Institucional 2024'!$O$59),"")</f>
        <v/>
      </c>
      <c r="Y34" s="67" t="str">
        <f>IF(AND('Mapa Institucional 2024'!$Y$60="Media",'Mapa Institucional 2024'!$AA$60="Moderado"),CONCATENATE("R9C",'Mapa Institucional 2024'!$O$60),"")</f>
        <v/>
      </c>
      <c r="Z34" s="67" t="str">
        <f>IF(AND('Mapa Institucional 2024'!$Y$61="Media",'Mapa Institucional 2024'!$AA$61="Moderado"),CONCATENATE("R9C",'Mapa Institucional 2024'!$O$61),"")</f>
        <v/>
      </c>
      <c r="AA34" s="68" t="str">
        <f>IF(AND('Mapa Institucional 2024'!$Y$62="Media",'Mapa Institucional 2024'!$AA$62="Moderado"),CONCATENATE("R9C",'Mapa Institucional 2024'!$O$62),"")</f>
        <v/>
      </c>
      <c r="AB34" s="50" t="str">
        <f>IF(AND('Mapa Institucional 2024'!$Y$57="Media",'Mapa Institucional 2024'!$AA$57="Mayor"),CONCATENATE("R9C",'Mapa Institucional 2024'!$O$57),"")</f>
        <v/>
      </c>
      <c r="AC34" s="51" t="str">
        <f>IF(AND('Mapa Institucional 2024'!$Y$58="Media",'Mapa Institucional 2024'!$AA$58="Mayor"),CONCATENATE("R9C",'Mapa Institucional 2024'!$O$58),"")</f>
        <v/>
      </c>
      <c r="AD34" s="56" t="str">
        <f>IF(AND('Mapa Institucional 2024'!$Y$59="Media",'Mapa Institucional 2024'!$AA$59="Mayor"),CONCATENATE("R9C",'Mapa Institucional 2024'!$O$59),"")</f>
        <v/>
      </c>
      <c r="AE34" s="56" t="str">
        <f>IF(AND('Mapa Institucional 2024'!$Y$60="Media",'Mapa Institucional 2024'!$AA$60="Mayor"),CONCATENATE("R9C",'Mapa Institucional 2024'!$O$60),"")</f>
        <v/>
      </c>
      <c r="AF34" s="56" t="str">
        <f>IF(AND('Mapa Institucional 2024'!$Y$61="Media",'Mapa Institucional 2024'!$AA$61="Mayor"),CONCATENATE("R9C",'Mapa Institucional 2024'!$O$61),"")</f>
        <v/>
      </c>
      <c r="AG34" s="52" t="str">
        <f>IF(AND('Mapa Institucional 2024'!$Y$62="Media",'Mapa Institucional 2024'!$AA$62="Mayor"),CONCATENATE("R9C",'Mapa Institucional 2024'!$O$62),"")</f>
        <v/>
      </c>
      <c r="AH34" s="53" t="str">
        <f>IF(AND('Mapa Institucional 2024'!$Y$57="Media",'Mapa Institucional 2024'!$AA$57="Catastrófico"),CONCATENATE("R9C",'Mapa Institucional 2024'!$O$57),"")</f>
        <v/>
      </c>
      <c r="AI34" s="54" t="str">
        <f>IF(AND('Mapa Institucional 2024'!$Y$58="Media",'Mapa Institucional 2024'!$AA$58="Catastrófico"),CONCATENATE("R9C",'Mapa Institucional 2024'!$O$58),"")</f>
        <v/>
      </c>
      <c r="AJ34" s="54" t="str">
        <f>IF(AND('Mapa Institucional 2024'!$Y$59="Media",'Mapa Institucional 2024'!$AA$59="Catastrófico"),CONCATENATE("R9C",'Mapa Institucional 2024'!$O$59),"")</f>
        <v/>
      </c>
      <c r="AK34" s="54" t="str">
        <f>IF(AND('Mapa Institucional 2024'!$Y$60="Media",'Mapa Institucional 2024'!$AA$60="Catastrófico"),CONCATENATE("R9C",'Mapa Institucional 2024'!$O$60),"")</f>
        <v/>
      </c>
      <c r="AL34" s="54" t="str">
        <f>IF(AND('Mapa Institucional 2024'!$Y$61="Media",'Mapa Institucional 2024'!$AA$61="Catastrófico"),CONCATENATE("R9C",'Mapa Institucional 2024'!$O$61),"")</f>
        <v/>
      </c>
      <c r="AM34" s="55" t="str">
        <f>IF(AND('Mapa Institucional 2024'!$Y$62="Media",'Mapa Institucional 2024'!$AA$62="Catastrófico"),CONCATENATE("R9C",'Mapa Institucional 2024'!$O$62),"")</f>
        <v/>
      </c>
      <c r="AN34" s="82"/>
      <c r="AO34" s="484"/>
      <c r="AP34" s="485"/>
      <c r="AQ34" s="485"/>
      <c r="AR34" s="485"/>
      <c r="AS34" s="485"/>
      <c r="AT34" s="48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402"/>
      <c r="C35" s="402"/>
      <c r="D35" s="403"/>
      <c r="E35" s="446"/>
      <c r="F35" s="447"/>
      <c r="G35" s="447"/>
      <c r="H35" s="447"/>
      <c r="I35" s="448"/>
      <c r="J35" s="66" t="str">
        <f>IF(AND('Mapa Institucional 2024'!$Y$63="Media",'Mapa Institucional 2024'!$AA$63="Leve"),CONCATENATE("R10C",'Mapa Institucional 2024'!$O$63),"")</f>
        <v/>
      </c>
      <c r="K35" s="67" t="str">
        <f>IF(AND('Mapa Institucional 2024'!$Y$64="Media",'Mapa Institucional 2024'!$AA$64="Leve"),CONCATENATE("R10C",'Mapa Institucional 2024'!$O$64),"")</f>
        <v/>
      </c>
      <c r="L35" s="67" t="str">
        <f>IF(AND('Mapa Institucional 2024'!$Y$65="Media",'Mapa Institucional 2024'!$AA$65="Leve"),CONCATENATE("R10C",'Mapa Institucional 2024'!$O$65),"")</f>
        <v/>
      </c>
      <c r="M35" s="67" t="str">
        <f>IF(AND('Mapa Institucional 2024'!$Y$66="Media",'Mapa Institucional 2024'!$AA$66="Leve"),CONCATENATE("R10C",'Mapa Institucional 2024'!$O$66),"")</f>
        <v/>
      </c>
      <c r="N35" s="67" t="str">
        <f>IF(AND('Mapa Institucional 2024'!$Y$67="Media",'Mapa Institucional 2024'!$AA$67="Leve"),CONCATENATE("R10C",'Mapa Institucional 2024'!$O$67),"")</f>
        <v/>
      </c>
      <c r="O35" s="68" t="str">
        <f>IF(AND('Mapa Institucional 2024'!$Y$68="Media",'Mapa Institucional 2024'!$AA$68="Leve"),CONCATENATE("R10C",'Mapa Institucional 2024'!$O$68),"")</f>
        <v/>
      </c>
      <c r="P35" s="66" t="str">
        <f>IF(AND('Mapa Institucional 2024'!$Y$63="Media",'Mapa Institucional 2024'!$AA$63="Menor"),CONCATENATE("R10C",'Mapa Institucional 2024'!$O$63),"")</f>
        <v/>
      </c>
      <c r="Q35" s="67" t="str">
        <f>IF(AND('Mapa Institucional 2024'!$Y$64="Media",'Mapa Institucional 2024'!$AA$64="Menor"),CONCATENATE("R10C",'Mapa Institucional 2024'!$O$64),"")</f>
        <v/>
      </c>
      <c r="R35" s="67" t="str">
        <f>IF(AND('Mapa Institucional 2024'!$Y$65="Media",'Mapa Institucional 2024'!$AA$65="Menor"),CONCATENATE("R10C",'Mapa Institucional 2024'!$O$65),"")</f>
        <v/>
      </c>
      <c r="S35" s="67" t="str">
        <f>IF(AND('Mapa Institucional 2024'!$Y$66="Media",'Mapa Institucional 2024'!$AA$66="Menor"),CONCATENATE("R10C",'Mapa Institucional 2024'!$O$66),"")</f>
        <v/>
      </c>
      <c r="T35" s="67" t="str">
        <f>IF(AND('Mapa Institucional 2024'!$Y$67="Media",'Mapa Institucional 2024'!$AA$67="Menor"),CONCATENATE("R10C",'Mapa Institucional 2024'!$O$67),"")</f>
        <v/>
      </c>
      <c r="U35" s="68" t="str">
        <f>IF(AND('Mapa Institucional 2024'!$Y$68="Media",'Mapa Institucional 2024'!$AA$68="Menor"),CONCATENATE("R10C",'Mapa Institucional 2024'!$O$68),"")</f>
        <v/>
      </c>
      <c r="V35" s="66" t="str">
        <f>IF(AND('Mapa Institucional 2024'!$Y$63="Media",'Mapa Institucional 2024'!$AA$63="Moderado"),CONCATENATE("R10C",'Mapa Institucional 2024'!$O$63),"")</f>
        <v/>
      </c>
      <c r="W35" s="67" t="str">
        <f>IF(AND('Mapa Institucional 2024'!$Y$64="Media",'Mapa Institucional 2024'!$AA$64="Moderado"),CONCATENATE("R10C",'Mapa Institucional 2024'!$O$64),"")</f>
        <v/>
      </c>
      <c r="X35" s="67" t="str">
        <f>IF(AND('Mapa Institucional 2024'!$Y$65="Media",'Mapa Institucional 2024'!$AA$65="Moderado"),CONCATENATE("R10C",'Mapa Institucional 2024'!$O$65),"")</f>
        <v/>
      </c>
      <c r="Y35" s="67" t="str">
        <f>IF(AND('Mapa Institucional 2024'!$Y$66="Media",'Mapa Institucional 2024'!$AA$66="Moderado"),CONCATENATE("R10C",'Mapa Institucional 2024'!$O$66),"")</f>
        <v/>
      </c>
      <c r="Z35" s="67" t="str">
        <f>IF(AND('Mapa Institucional 2024'!$Y$67="Media",'Mapa Institucional 2024'!$AA$67="Moderado"),CONCATENATE("R10C",'Mapa Institucional 2024'!$O$67),"")</f>
        <v/>
      </c>
      <c r="AA35" s="68" t="str">
        <f>IF(AND('Mapa Institucional 2024'!$Y$68="Media",'Mapa Institucional 2024'!$AA$68="Moderado"),CONCATENATE("R10C",'Mapa Institucional 2024'!$O$68),"")</f>
        <v/>
      </c>
      <c r="AB35" s="57" t="str">
        <f>IF(AND('Mapa Institucional 2024'!$Y$63="Media",'Mapa Institucional 2024'!$AA$63="Mayor"),CONCATENATE("R10C",'Mapa Institucional 2024'!$O$63),"")</f>
        <v/>
      </c>
      <c r="AC35" s="58" t="str">
        <f>IF(AND('Mapa Institucional 2024'!$Y$64="Media",'Mapa Institucional 2024'!$AA$64="Mayor"),CONCATENATE("R10C",'Mapa Institucional 2024'!$O$64),"")</f>
        <v/>
      </c>
      <c r="AD35" s="58" t="str">
        <f>IF(AND('Mapa Institucional 2024'!$Y$65="Media",'Mapa Institucional 2024'!$AA$65="Mayor"),CONCATENATE("R10C",'Mapa Institucional 2024'!$O$65),"")</f>
        <v/>
      </c>
      <c r="AE35" s="58" t="str">
        <f>IF(AND('Mapa Institucional 2024'!$Y$66="Media",'Mapa Institucional 2024'!$AA$66="Mayor"),CONCATENATE("R10C",'Mapa Institucional 2024'!$O$66),"")</f>
        <v/>
      </c>
      <c r="AF35" s="58" t="str">
        <f>IF(AND('Mapa Institucional 2024'!$Y$67="Media",'Mapa Institucional 2024'!$AA$67="Mayor"),CONCATENATE("R10C",'Mapa Institucional 2024'!$O$67),"")</f>
        <v/>
      </c>
      <c r="AG35" s="59" t="str">
        <f>IF(AND('Mapa Institucional 2024'!$Y$68="Media",'Mapa Institucional 2024'!$AA$68="Mayor"),CONCATENATE("R10C",'Mapa Institucional 2024'!$O$68),"")</f>
        <v/>
      </c>
      <c r="AH35" s="60" t="str">
        <f>IF(AND('Mapa Institucional 2024'!$Y$63="Media",'Mapa Institucional 2024'!$AA$63="Catastrófico"),CONCATENATE("R10C",'Mapa Institucional 2024'!$O$63),"")</f>
        <v/>
      </c>
      <c r="AI35" s="61" t="str">
        <f>IF(AND('Mapa Institucional 2024'!$Y$64="Media",'Mapa Institucional 2024'!$AA$64="Catastrófico"),CONCATENATE("R10C",'Mapa Institucional 2024'!$O$64),"")</f>
        <v/>
      </c>
      <c r="AJ35" s="61" t="str">
        <f>IF(AND('Mapa Institucional 2024'!$Y$65="Media",'Mapa Institucional 2024'!$AA$65="Catastrófico"),CONCATENATE("R10C",'Mapa Institucional 2024'!$O$65),"")</f>
        <v/>
      </c>
      <c r="AK35" s="61" t="str">
        <f>IF(AND('Mapa Institucional 2024'!$Y$66="Media",'Mapa Institucional 2024'!$AA$66="Catastrófico"),CONCATENATE("R10C",'Mapa Institucional 2024'!$O$66),"")</f>
        <v/>
      </c>
      <c r="AL35" s="61" t="str">
        <f>IF(AND('Mapa Institucional 2024'!$Y$67="Media",'Mapa Institucional 2024'!$AA$67="Catastrófico"),CONCATENATE("R10C",'Mapa Institucional 2024'!$O$67),"")</f>
        <v/>
      </c>
      <c r="AM35" s="62" t="str">
        <f>IF(AND('Mapa Institucional 2024'!$Y$68="Media",'Mapa Institucional 2024'!$AA$68="Catastrófico"),CONCATENATE("R10C",'Mapa Institucional 2024'!$O$68),"")</f>
        <v/>
      </c>
      <c r="AN35" s="82"/>
      <c r="AO35" s="487"/>
      <c r="AP35" s="488"/>
      <c r="AQ35" s="488"/>
      <c r="AR35" s="488"/>
      <c r="AS35" s="488"/>
      <c r="AT35" s="48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402"/>
      <c r="C36" s="402"/>
      <c r="D36" s="403"/>
      <c r="E36" s="440" t="s">
        <v>114</v>
      </c>
      <c r="F36" s="441"/>
      <c r="G36" s="441"/>
      <c r="H36" s="441"/>
      <c r="I36" s="441"/>
      <c r="J36" s="72" t="str">
        <f ca="1">IF(AND('Mapa Institucional 2024'!$Y$9="Baja",'Mapa Institucional 2024'!$AA$9="Leve"),CONCATENATE("R1C",'Mapa Institucional 2024'!$O$9),"")</f>
        <v>R1C1</v>
      </c>
      <c r="K36" s="73" t="str">
        <f>IF(AND('Mapa Institucional 2024'!$Y$10="Baja",'Mapa Institucional 2024'!$AA$10="Leve"),CONCATENATE("R1C",'Mapa Institucional 2024'!$O$10),"")</f>
        <v/>
      </c>
      <c r="L36" s="73" t="str">
        <f>IF(AND('Mapa Institucional 2024'!$Y$11="Baja",'Mapa Institucional 2024'!$AA$11="Leve"),CONCATENATE("R1C",'Mapa Institucional 2024'!$O$11),"")</f>
        <v/>
      </c>
      <c r="M36" s="73" t="str">
        <f>IF(AND('Mapa Institucional 2024'!$Y$12="Baja",'Mapa Institucional 2024'!$AA$12="Leve"),CONCATENATE("R1C",'Mapa Institucional 2024'!$O$12),"")</f>
        <v/>
      </c>
      <c r="N36" s="73" t="str">
        <f>IF(AND('Mapa Institucional 2024'!$Y$13="Baja",'Mapa Institucional 2024'!$AA$13="Leve"),CONCATENATE("R1C",'Mapa Institucional 2024'!$O$13),"")</f>
        <v/>
      </c>
      <c r="O36" s="74" t="str">
        <f>IF(AND('Mapa Institucional 2024'!$Y$14="Baja",'Mapa Institucional 2024'!$AA$14="Leve"),CONCATENATE("R1C",'Mapa Institucional 2024'!$O$14),"")</f>
        <v/>
      </c>
      <c r="P36" s="63" t="str">
        <f ca="1">IF(AND('Mapa Institucional 2024'!$Y$9="Baja",'Mapa Institucional 2024'!$AA$9="Menor"),CONCATENATE("R1C",'Mapa Institucional 2024'!$O$9),"")</f>
        <v/>
      </c>
      <c r="Q36" s="64" t="str">
        <f>IF(AND('Mapa Institucional 2024'!$Y$10="Baja",'Mapa Institucional 2024'!$AA$10="Menor"),CONCATENATE("R1C",'Mapa Institucional 2024'!$O$10),"")</f>
        <v/>
      </c>
      <c r="R36" s="64" t="str">
        <f>IF(AND('Mapa Institucional 2024'!$Y$11="Baja",'Mapa Institucional 2024'!$AA$11="Menor"),CONCATENATE("R1C",'Mapa Institucional 2024'!$O$11),"")</f>
        <v/>
      </c>
      <c r="S36" s="64" t="str">
        <f>IF(AND('Mapa Institucional 2024'!$Y$12="Baja",'Mapa Institucional 2024'!$AA$12="Menor"),CONCATENATE("R1C",'Mapa Institucional 2024'!$O$12),"")</f>
        <v/>
      </c>
      <c r="T36" s="64" t="str">
        <f>IF(AND('Mapa Institucional 2024'!$Y$13="Baja",'Mapa Institucional 2024'!$AA$13="Menor"),CONCATENATE("R1C",'Mapa Institucional 2024'!$O$13),"")</f>
        <v/>
      </c>
      <c r="U36" s="65" t="str">
        <f>IF(AND('Mapa Institucional 2024'!$Y$14="Baja",'Mapa Institucional 2024'!$AA$14="Menor"),CONCATENATE("R1C",'Mapa Institucional 2024'!$O$14),"")</f>
        <v/>
      </c>
      <c r="V36" s="63" t="str">
        <f ca="1">IF(AND('Mapa Institucional 2024'!$Y$9="Baja",'Mapa Institucional 2024'!$AA$9="Moderado"),CONCATENATE("R1C",'Mapa Institucional 2024'!$O$9),"")</f>
        <v/>
      </c>
      <c r="W36" s="64" t="str">
        <f>IF(AND('Mapa Institucional 2024'!$Y$10="Baja",'Mapa Institucional 2024'!$AA$10="Moderado"),CONCATENATE("R1C",'Mapa Institucional 2024'!$O$10),"")</f>
        <v/>
      </c>
      <c r="X36" s="64" t="str">
        <f>IF(AND('Mapa Institucional 2024'!$Y$11="Baja",'Mapa Institucional 2024'!$AA$11="Moderado"),CONCATENATE("R1C",'Mapa Institucional 2024'!$O$11),"")</f>
        <v/>
      </c>
      <c r="Y36" s="64" t="str">
        <f>IF(AND('Mapa Institucional 2024'!$Y$12="Baja",'Mapa Institucional 2024'!$AA$12="Moderado"),CONCATENATE("R1C",'Mapa Institucional 2024'!$O$12),"")</f>
        <v/>
      </c>
      <c r="Z36" s="64" t="str">
        <f>IF(AND('Mapa Institucional 2024'!$Y$13="Baja",'Mapa Institucional 2024'!$AA$13="Moderado"),CONCATENATE("R1C",'Mapa Institucional 2024'!$O$13),"")</f>
        <v/>
      </c>
      <c r="AA36" s="65" t="str">
        <f>IF(AND('Mapa Institucional 2024'!$Y$14="Baja",'Mapa Institucional 2024'!$AA$14="Moderado"),CONCATENATE("R1C",'Mapa Institucional 2024'!$O$14),"")</f>
        <v/>
      </c>
      <c r="AB36" s="44" t="str">
        <f ca="1">IF(AND('Mapa Institucional 2024'!$Y$9="Baja",'Mapa Institucional 2024'!$AA$9="Mayor"),CONCATENATE("R1C",'Mapa Institucional 2024'!$O$9),"")</f>
        <v/>
      </c>
      <c r="AC36" s="45" t="str">
        <f>IF(AND('Mapa Institucional 2024'!$Y$10="Baja",'Mapa Institucional 2024'!$AA$10="Mayor"),CONCATENATE("R1C",'Mapa Institucional 2024'!$O$10),"")</f>
        <v/>
      </c>
      <c r="AD36" s="45" t="str">
        <f>IF(AND('Mapa Institucional 2024'!$Y$11="Baja",'Mapa Institucional 2024'!$AA$11="Mayor"),CONCATENATE("R1C",'Mapa Institucional 2024'!$O$11),"")</f>
        <v/>
      </c>
      <c r="AE36" s="45" t="str">
        <f>IF(AND('Mapa Institucional 2024'!$Y$12="Baja",'Mapa Institucional 2024'!$AA$12="Mayor"),CONCATENATE("R1C",'Mapa Institucional 2024'!$O$12),"")</f>
        <v/>
      </c>
      <c r="AF36" s="45" t="str">
        <f>IF(AND('Mapa Institucional 2024'!$Y$13="Baja",'Mapa Institucional 2024'!$AA$13="Mayor"),CONCATENATE("R1C",'Mapa Institucional 2024'!$O$13),"")</f>
        <v/>
      </c>
      <c r="AG36" s="46" t="str">
        <f>IF(AND('Mapa Institucional 2024'!$Y$14="Baja",'Mapa Institucional 2024'!$AA$14="Mayor"),CONCATENATE("R1C",'Mapa Institucional 2024'!$O$14),"")</f>
        <v/>
      </c>
      <c r="AH36" s="47" t="str">
        <f ca="1">IF(AND('Mapa Institucional 2024'!$Y$9="Baja",'Mapa Institucional 2024'!$AA$9="Catastrófico"),CONCATENATE("R1C",'Mapa Institucional 2024'!$O$9),"")</f>
        <v/>
      </c>
      <c r="AI36" s="48" t="str">
        <f>IF(AND('Mapa Institucional 2024'!$Y$10="Baja",'Mapa Institucional 2024'!$AA$10="Catastrófico"),CONCATENATE("R1C",'Mapa Institucional 2024'!$O$10),"")</f>
        <v/>
      </c>
      <c r="AJ36" s="48" t="str">
        <f>IF(AND('Mapa Institucional 2024'!$Y$11="Baja",'Mapa Institucional 2024'!$AA$11="Catastrófico"),CONCATENATE("R1C",'Mapa Institucional 2024'!$O$11),"")</f>
        <v/>
      </c>
      <c r="AK36" s="48" t="str">
        <f>IF(AND('Mapa Institucional 2024'!$Y$12="Baja",'Mapa Institucional 2024'!$AA$12="Catastrófico"),CONCATENATE("R1C",'Mapa Institucional 2024'!$O$12),"")</f>
        <v/>
      </c>
      <c r="AL36" s="48" t="str">
        <f>IF(AND('Mapa Institucional 2024'!$Y$13="Baja",'Mapa Institucional 2024'!$AA$13="Catastrófico"),CONCATENATE("R1C",'Mapa Institucional 2024'!$O$13),"")</f>
        <v/>
      </c>
      <c r="AM36" s="49" t="str">
        <f>IF(AND('Mapa Institucional 2024'!$Y$14="Baja",'Mapa Institucional 2024'!$AA$14="Catastrófico"),CONCATENATE("R1C",'Mapa Institucional 2024'!$O$14),"")</f>
        <v/>
      </c>
      <c r="AN36" s="82"/>
      <c r="AO36" s="472" t="s">
        <v>82</v>
      </c>
      <c r="AP36" s="473"/>
      <c r="AQ36" s="473"/>
      <c r="AR36" s="473"/>
      <c r="AS36" s="473"/>
      <c r="AT36" s="47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402"/>
      <c r="C37" s="402"/>
      <c r="D37" s="403"/>
      <c r="E37" s="459"/>
      <c r="F37" s="460"/>
      <c r="G37" s="460"/>
      <c r="H37" s="460"/>
      <c r="I37" s="460"/>
      <c r="J37" s="75" t="str">
        <f ca="1">IF(AND('Mapa Institucional 2024'!$Y$15="Baja",'Mapa Institucional 2024'!$AA$15="Leve"),CONCATENATE("R2C",'Mapa Institucional 2024'!$O$15),"")</f>
        <v/>
      </c>
      <c r="K37" s="76" t="str">
        <f>IF(AND('Mapa Institucional 2024'!$Y$16="Baja",'Mapa Institucional 2024'!$AA$16="Leve"),CONCATENATE("R2C",'Mapa Institucional 2024'!$O$16),"")</f>
        <v/>
      </c>
      <c r="L37" s="76" t="str">
        <f>IF(AND('Mapa Institucional 2024'!$Y$17="Baja",'Mapa Institucional 2024'!$AA$17="Leve"),CONCATENATE("R2C",'Mapa Institucional 2024'!$O$17),"")</f>
        <v/>
      </c>
      <c r="M37" s="76" t="str">
        <f>IF(AND('Mapa Institucional 2024'!$Y$18="Baja",'Mapa Institucional 2024'!$AA$18="Leve"),CONCATENATE("R2C",'Mapa Institucional 2024'!$O$18),"")</f>
        <v/>
      </c>
      <c r="N37" s="76" t="str">
        <f>IF(AND('Mapa Institucional 2024'!$Y$19="Baja",'Mapa Institucional 2024'!$AA$19="Leve"),CONCATENATE("R2C",'Mapa Institucional 2024'!$O$19),"")</f>
        <v/>
      </c>
      <c r="O37" s="77" t="str">
        <f>IF(AND('Mapa Institucional 2024'!$Y$20="Baja",'Mapa Institucional 2024'!$AA$20="Leve"),CONCATENATE("R2C",'Mapa Institucional 2024'!$O$20),"")</f>
        <v/>
      </c>
      <c r="P37" s="66" t="str">
        <f ca="1">IF(AND('Mapa Institucional 2024'!$Y$15="Baja",'Mapa Institucional 2024'!$AA$15="Menor"),CONCATENATE("R2C",'Mapa Institucional 2024'!$O$15),"")</f>
        <v/>
      </c>
      <c r="Q37" s="67" t="str">
        <f>IF(AND('Mapa Institucional 2024'!$Y$16="Baja",'Mapa Institucional 2024'!$AA$16="Menor"),CONCATENATE("R2C",'Mapa Institucional 2024'!$O$16),"")</f>
        <v/>
      </c>
      <c r="R37" s="67" t="str">
        <f>IF(AND('Mapa Institucional 2024'!$Y$17="Baja",'Mapa Institucional 2024'!$AA$17="Menor"),CONCATENATE("R2C",'Mapa Institucional 2024'!$O$17),"")</f>
        <v/>
      </c>
      <c r="S37" s="67" t="str">
        <f>IF(AND('Mapa Institucional 2024'!$Y$18="Baja",'Mapa Institucional 2024'!$AA$18="Menor"),CONCATENATE("R2C",'Mapa Institucional 2024'!$O$18),"")</f>
        <v/>
      </c>
      <c r="T37" s="67" t="str">
        <f>IF(AND('Mapa Institucional 2024'!$Y$19="Baja",'Mapa Institucional 2024'!$AA$19="Menor"),CONCATENATE("R2C",'Mapa Institucional 2024'!$O$19),"")</f>
        <v/>
      </c>
      <c r="U37" s="68" t="str">
        <f>IF(AND('Mapa Institucional 2024'!$Y$20="Baja",'Mapa Institucional 2024'!$AA$20="Menor"),CONCATENATE("R2C",'Mapa Institucional 2024'!$O$20),"")</f>
        <v/>
      </c>
      <c r="V37" s="66" t="str">
        <f ca="1">IF(AND('Mapa Institucional 2024'!$Y$15="Baja",'Mapa Institucional 2024'!$AA$15="Moderado"),CONCATENATE("R2C",'Mapa Institucional 2024'!$O$15),"")</f>
        <v/>
      </c>
      <c r="W37" s="67" t="str">
        <f>IF(AND('Mapa Institucional 2024'!$Y$16="Baja",'Mapa Institucional 2024'!$AA$16="Moderado"),CONCATENATE("R2C",'Mapa Institucional 2024'!$O$16),"")</f>
        <v/>
      </c>
      <c r="X37" s="67" t="str">
        <f>IF(AND('Mapa Institucional 2024'!$Y$17="Baja",'Mapa Institucional 2024'!$AA$17="Moderado"),CONCATENATE("R2C",'Mapa Institucional 2024'!$O$17),"")</f>
        <v/>
      </c>
      <c r="Y37" s="67" t="str">
        <f>IF(AND('Mapa Institucional 2024'!$Y$18="Baja",'Mapa Institucional 2024'!$AA$18="Moderado"),CONCATENATE("R2C",'Mapa Institucional 2024'!$O$18),"")</f>
        <v/>
      </c>
      <c r="Z37" s="67" t="str">
        <f>IF(AND('Mapa Institucional 2024'!$Y$19="Baja",'Mapa Institucional 2024'!$AA$19="Moderado"),CONCATENATE("R2C",'Mapa Institucional 2024'!$O$19),"")</f>
        <v/>
      </c>
      <c r="AA37" s="68" t="str">
        <f>IF(AND('Mapa Institucional 2024'!$Y$20="Baja",'Mapa Institucional 2024'!$AA$20="Moderado"),CONCATENATE("R2C",'Mapa Institucional 2024'!$O$20),"")</f>
        <v/>
      </c>
      <c r="AB37" s="50" t="str">
        <f ca="1">IF(AND('Mapa Institucional 2024'!$Y$15="Baja",'Mapa Institucional 2024'!$AA$15="Mayor"),CONCATENATE("R2C",'Mapa Institucional 2024'!$O$15),"")</f>
        <v/>
      </c>
      <c r="AC37" s="51" t="str">
        <f>IF(AND('Mapa Institucional 2024'!$Y$16="Baja",'Mapa Institucional 2024'!$AA$16="Mayor"),CONCATENATE("R2C",'Mapa Institucional 2024'!$O$16),"")</f>
        <v/>
      </c>
      <c r="AD37" s="51" t="str">
        <f>IF(AND('Mapa Institucional 2024'!$Y$17="Baja",'Mapa Institucional 2024'!$AA$17="Mayor"),CONCATENATE("R2C",'Mapa Institucional 2024'!$O$17),"")</f>
        <v/>
      </c>
      <c r="AE37" s="51" t="str">
        <f>IF(AND('Mapa Institucional 2024'!$Y$18="Baja",'Mapa Institucional 2024'!$AA$18="Mayor"),CONCATENATE("R2C",'Mapa Institucional 2024'!$O$18),"")</f>
        <v/>
      </c>
      <c r="AF37" s="51" t="str">
        <f>IF(AND('Mapa Institucional 2024'!$Y$19="Baja",'Mapa Institucional 2024'!$AA$19="Mayor"),CONCATENATE("R2C",'Mapa Institucional 2024'!$O$19),"")</f>
        <v/>
      </c>
      <c r="AG37" s="52" t="str">
        <f>IF(AND('Mapa Institucional 2024'!$Y$20="Baja",'Mapa Institucional 2024'!$AA$20="Mayor"),CONCATENATE("R2C",'Mapa Institucional 2024'!$O$20),"")</f>
        <v/>
      </c>
      <c r="AH37" s="53" t="str">
        <f ca="1">IF(AND('Mapa Institucional 2024'!$Y$15="Baja",'Mapa Institucional 2024'!$AA$15="Catastrófico"),CONCATENATE("R2C",'Mapa Institucional 2024'!$O$15),"")</f>
        <v/>
      </c>
      <c r="AI37" s="54" t="str">
        <f>IF(AND('Mapa Institucional 2024'!$Y$16="Baja",'Mapa Institucional 2024'!$AA$16="Catastrófico"),CONCATENATE("R2C",'Mapa Institucional 2024'!$O$16),"")</f>
        <v/>
      </c>
      <c r="AJ37" s="54" t="str">
        <f>IF(AND('Mapa Institucional 2024'!$Y$17="Baja",'Mapa Institucional 2024'!$AA$17="Catastrófico"),CONCATENATE("R2C",'Mapa Institucional 2024'!$O$17),"")</f>
        <v/>
      </c>
      <c r="AK37" s="54" t="str">
        <f>IF(AND('Mapa Institucional 2024'!$Y$18="Baja",'Mapa Institucional 2024'!$AA$18="Catastrófico"),CONCATENATE("R2C",'Mapa Institucional 2024'!$O$18),"")</f>
        <v/>
      </c>
      <c r="AL37" s="54" t="str">
        <f>IF(AND('Mapa Institucional 2024'!$Y$19="Baja",'Mapa Institucional 2024'!$AA$19="Catastrófico"),CONCATENATE("R2C",'Mapa Institucional 2024'!$O$19),"")</f>
        <v/>
      </c>
      <c r="AM37" s="55" t="str">
        <f>IF(AND('Mapa Institucional 2024'!$Y$20="Baja",'Mapa Institucional 2024'!$AA$20="Catastrófico"),CONCATENATE("R2C",'Mapa Institucional 2024'!$O$20),"")</f>
        <v/>
      </c>
      <c r="AN37" s="82"/>
      <c r="AO37" s="475"/>
      <c r="AP37" s="476"/>
      <c r="AQ37" s="476"/>
      <c r="AR37" s="476"/>
      <c r="AS37" s="476"/>
      <c r="AT37" s="47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402"/>
      <c r="C38" s="402"/>
      <c r="D38" s="403"/>
      <c r="E38" s="443"/>
      <c r="F38" s="444"/>
      <c r="G38" s="444"/>
      <c r="H38" s="444"/>
      <c r="I38" s="460"/>
      <c r="J38" s="75" t="str">
        <f>IF(AND('Mapa Institucional 2024'!$Y$21="Baja",'Mapa Institucional 2024'!$AA$21="Leve"),CONCATENATE("R3C",'Mapa Institucional 2024'!$O$21),"")</f>
        <v/>
      </c>
      <c r="K38" s="76" t="str">
        <f>IF(AND('Mapa Institucional 2024'!$Y$22="Baja",'Mapa Institucional 2024'!$AA$22="Leve"),CONCATENATE("R3C",'Mapa Institucional 2024'!$O$22),"")</f>
        <v/>
      </c>
      <c r="L38" s="76" t="str">
        <f>IF(AND('Mapa Institucional 2024'!$Y$23="Baja",'Mapa Institucional 2024'!$AA$23="Leve"),CONCATENATE("R3C",'Mapa Institucional 2024'!$O$23),"")</f>
        <v/>
      </c>
      <c r="M38" s="76" t="str">
        <f>IF(AND('Mapa Institucional 2024'!$Y$24="Baja",'Mapa Institucional 2024'!$AA$24="Leve"),CONCATENATE("R3C",'Mapa Institucional 2024'!$O$24),"")</f>
        <v/>
      </c>
      <c r="N38" s="76" t="str">
        <f>IF(AND('Mapa Institucional 2024'!$Y$25="Baja",'Mapa Institucional 2024'!$AA$25="Leve"),CONCATENATE("R3C",'Mapa Institucional 2024'!$O$25),"")</f>
        <v/>
      </c>
      <c r="O38" s="77" t="str">
        <f>IF(AND('Mapa Institucional 2024'!$Y$26="Baja",'Mapa Institucional 2024'!$AA$26="Leve"),CONCATENATE("R3C",'Mapa Institucional 2024'!$O$26),"")</f>
        <v/>
      </c>
      <c r="P38" s="66" t="str">
        <f>IF(AND('Mapa Institucional 2024'!$Y$21="Baja",'Mapa Institucional 2024'!$AA$21="Menor"),CONCATENATE("R3C",'Mapa Institucional 2024'!$O$21),"")</f>
        <v/>
      </c>
      <c r="Q38" s="67" t="str">
        <f>IF(AND('Mapa Institucional 2024'!$Y$22="Baja",'Mapa Institucional 2024'!$AA$22="Menor"),CONCATENATE("R3C",'Mapa Institucional 2024'!$O$22),"")</f>
        <v/>
      </c>
      <c r="R38" s="67" t="str">
        <f>IF(AND('Mapa Institucional 2024'!$Y$23="Baja",'Mapa Institucional 2024'!$AA$23="Menor"),CONCATENATE("R3C",'Mapa Institucional 2024'!$O$23),"")</f>
        <v/>
      </c>
      <c r="S38" s="67" t="str">
        <f>IF(AND('Mapa Institucional 2024'!$Y$24="Baja",'Mapa Institucional 2024'!$AA$24="Menor"),CONCATENATE("R3C",'Mapa Institucional 2024'!$O$24),"")</f>
        <v/>
      </c>
      <c r="T38" s="67" t="str">
        <f>IF(AND('Mapa Institucional 2024'!$Y$25="Baja",'Mapa Institucional 2024'!$AA$25="Menor"),CONCATENATE("R3C",'Mapa Institucional 2024'!$O$25),"")</f>
        <v/>
      </c>
      <c r="U38" s="68" t="str">
        <f>IF(AND('Mapa Institucional 2024'!$Y$26="Baja",'Mapa Institucional 2024'!$AA$26="Menor"),CONCATENATE("R3C",'Mapa Institucional 2024'!$O$26),"")</f>
        <v/>
      </c>
      <c r="V38" s="66" t="str">
        <f>IF(AND('Mapa Institucional 2024'!$Y$21="Baja",'Mapa Institucional 2024'!$AA$21="Moderado"),CONCATENATE("R3C",'Mapa Institucional 2024'!$O$21),"")</f>
        <v/>
      </c>
      <c r="W38" s="67" t="str">
        <f>IF(AND('Mapa Institucional 2024'!$Y$22="Baja",'Mapa Institucional 2024'!$AA$22="Moderado"),CONCATENATE("R3C",'Mapa Institucional 2024'!$O$22),"")</f>
        <v/>
      </c>
      <c r="X38" s="67" t="str">
        <f>IF(AND('Mapa Institucional 2024'!$Y$23="Baja",'Mapa Institucional 2024'!$AA$23="Moderado"),CONCATENATE("R3C",'Mapa Institucional 2024'!$O$23),"")</f>
        <v/>
      </c>
      <c r="Y38" s="67" t="str">
        <f>IF(AND('Mapa Institucional 2024'!$Y$24="Baja",'Mapa Institucional 2024'!$AA$24="Moderado"),CONCATENATE("R3C",'Mapa Institucional 2024'!$O$24),"")</f>
        <v/>
      </c>
      <c r="Z38" s="67" t="str">
        <f>IF(AND('Mapa Institucional 2024'!$Y$25="Baja",'Mapa Institucional 2024'!$AA$25="Moderado"),CONCATENATE("R3C",'Mapa Institucional 2024'!$O$25),"")</f>
        <v/>
      </c>
      <c r="AA38" s="68" t="str">
        <f>IF(AND('Mapa Institucional 2024'!$Y$26="Baja",'Mapa Institucional 2024'!$AA$26="Moderado"),CONCATENATE("R3C",'Mapa Institucional 2024'!$O$26),"")</f>
        <v/>
      </c>
      <c r="AB38" s="50" t="str">
        <f>IF(AND('Mapa Institucional 2024'!$Y$21="Baja",'Mapa Institucional 2024'!$AA$21="Mayor"),CONCATENATE("R3C",'Mapa Institucional 2024'!$O$21),"")</f>
        <v/>
      </c>
      <c r="AC38" s="51" t="str">
        <f>IF(AND('Mapa Institucional 2024'!$Y$22="Baja",'Mapa Institucional 2024'!$AA$22="Mayor"),CONCATENATE("R3C",'Mapa Institucional 2024'!$O$22),"")</f>
        <v/>
      </c>
      <c r="AD38" s="51" t="str">
        <f>IF(AND('Mapa Institucional 2024'!$Y$23="Baja",'Mapa Institucional 2024'!$AA$23="Mayor"),CONCATENATE("R3C",'Mapa Institucional 2024'!$O$23),"")</f>
        <v/>
      </c>
      <c r="AE38" s="51" t="str">
        <f>IF(AND('Mapa Institucional 2024'!$Y$24="Baja",'Mapa Institucional 2024'!$AA$24="Mayor"),CONCATENATE("R3C",'Mapa Institucional 2024'!$O$24),"")</f>
        <v/>
      </c>
      <c r="AF38" s="51" t="str">
        <f>IF(AND('Mapa Institucional 2024'!$Y$25="Baja",'Mapa Institucional 2024'!$AA$25="Mayor"),CONCATENATE("R3C",'Mapa Institucional 2024'!$O$25),"")</f>
        <v/>
      </c>
      <c r="AG38" s="52" t="str">
        <f>IF(AND('Mapa Institucional 2024'!$Y$26="Baja",'Mapa Institucional 2024'!$AA$26="Mayor"),CONCATENATE("R3C",'Mapa Institucional 2024'!$O$26),"")</f>
        <v/>
      </c>
      <c r="AH38" s="53" t="str">
        <f>IF(AND('Mapa Institucional 2024'!$Y$21="Baja",'Mapa Institucional 2024'!$AA$21="Catastrófico"),CONCATENATE("R3C",'Mapa Institucional 2024'!$O$21),"")</f>
        <v/>
      </c>
      <c r="AI38" s="54" t="str">
        <f>IF(AND('Mapa Institucional 2024'!$Y$22="Baja",'Mapa Institucional 2024'!$AA$22="Catastrófico"),CONCATENATE("R3C",'Mapa Institucional 2024'!$O$22),"")</f>
        <v/>
      </c>
      <c r="AJ38" s="54" t="str">
        <f>IF(AND('Mapa Institucional 2024'!$Y$23="Baja",'Mapa Institucional 2024'!$AA$23="Catastrófico"),CONCATENATE("R3C",'Mapa Institucional 2024'!$O$23),"")</f>
        <v/>
      </c>
      <c r="AK38" s="54" t="str">
        <f>IF(AND('Mapa Institucional 2024'!$Y$24="Baja",'Mapa Institucional 2024'!$AA$24="Catastrófico"),CONCATENATE("R3C",'Mapa Institucional 2024'!$O$24),"")</f>
        <v/>
      </c>
      <c r="AL38" s="54" t="str">
        <f>IF(AND('Mapa Institucional 2024'!$Y$25="Baja",'Mapa Institucional 2024'!$AA$25="Catastrófico"),CONCATENATE("R3C",'Mapa Institucional 2024'!$O$25),"")</f>
        <v/>
      </c>
      <c r="AM38" s="55" t="str">
        <f>IF(AND('Mapa Institucional 2024'!$Y$26="Baja",'Mapa Institucional 2024'!$AA$26="Catastrófico"),CONCATENATE("R3C",'Mapa Institucional 2024'!$O$26),"")</f>
        <v/>
      </c>
      <c r="AN38" s="82"/>
      <c r="AO38" s="475"/>
      <c r="AP38" s="476"/>
      <c r="AQ38" s="476"/>
      <c r="AR38" s="476"/>
      <c r="AS38" s="476"/>
      <c r="AT38" s="477"/>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402"/>
      <c r="C39" s="402"/>
      <c r="D39" s="403"/>
      <c r="E39" s="443"/>
      <c r="F39" s="444"/>
      <c r="G39" s="444"/>
      <c r="H39" s="444"/>
      <c r="I39" s="460"/>
      <c r="J39" s="75" t="str">
        <f>IF(AND('Mapa Institucional 2024'!$Y$27="Baja",'Mapa Institucional 2024'!$AA$27="Leve"),CONCATENATE("R4C",'Mapa Institucional 2024'!$O$27),"")</f>
        <v/>
      </c>
      <c r="K39" s="76" t="str">
        <f>IF(AND('Mapa Institucional 2024'!$Y$28="Baja",'Mapa Institucional 2024'!$AA$28="Leve"),CONCATENATE("R4C",'Mapa Institucional 2024'!$O$28),"")</f>
        <v/>
      </c>
      <c r="L39" s="76" t="str">
        <f>IF(AND('Mapa Institucional 2024'!$Y$29="Baja",'Mapa Institucional 2024'!$AA$29="Leve"),CONCATENATE("R4C",'Mapa Institucional 2024'!$O$29),"")</f>
        <v/>
      </c>
      <c r="M39" s="76" t="str">
        <f>IF(AND('Mapa Institucional 2024'!$Y$30="Baja",'Mapa Institucional 2024'!$AA$30="Leve"),CONCATENATE("R4C",'Mapa Institucional 2024'!$O$30),"")</f>
        <v/>
      </c>
      <c r="N39" s="76" t="str">
        <f>IF(AND('Mapa Institucional 2024'!$Y$31="Baja",'Mapa Institucional 2024'!$AA$31="Leve"),CONCATENATE("R4C",'Mapa Institucional 2024'!$O$31),"")</f>
        <v/>
      </c>
      <c r="O39" s="77" t="str">
        <f>IF(AND('Mapa Institucional 2024'!$Y$32="Baja",'Mapa Institucional 2024'!$AA$32="Leve"),CONCATENATE("R4C",'Mapa Institucional 2024'!$O$32),"")</f>
        <v/>
      </c>
      <c r="P39" s="66" t="str">
        <f>IF(AND('Mapa Institucional 2024'!$Y$27="Baja",'Mapa Institucional 2024'!$AA$27="Menor"),CONCATENATE("R4C",'Mapa Institucional 2024'!$O$27),"")</f>
        <v/>
      </c>
      <c r="Q39" s="67" t="str">
        <f>IF(AND('Mapa Institucional 2024'!$Y$28="Baja",'Mapa Institucional 2024'!$AA$28="Menor"),CONCATENATE("R4C",'Mapa Institucional 2024'!$O$28),"")</f>
        <v/>
      </c>
      <c r="R39" s="67" t="str">
        <f>IF(AND('Mapa Institucional 2024'!$Y$29="Baja",'Mapa Institucional 2024'!$AA$29="Menor"),CONCATENATE("R4C",'Mapa Institucional 2024'!$O$29),"")</f>
        <v/>
      </c>
      <c r="S39" s="67" t="str">
        <f>IF(AND('Mapa Institucional 2024'!$Y$30="Baja",'Mapa Institucional 2024'!$AA$30="Menor"),CONCATENATE("R4C",'Mapa Institucional 2024'!$O$30),"")</f>
        <v/>
      </c>
      <c r="T39" s="67" t="str">
        <f>IF(AND('Mapa Institucional 2024'!$Y$31="Baja",'Mapa Institucional 2024'!$AA$31="Menor"),CONCATENATE("R4C",'Mapa Institucional 2024'!$O$31),"")</f>
        <v/>
      </c>
      <c r="U39" s="68" t="str">
        <f>IF(AND('Mapa Institucional 2024'!$Y$32="Baja",'Mapa Institucional 2024'!$AA$32="Menor"),CONCATENATE("R4C",'Mapa Institucional 2024'!$O$32),"")</f>
        <v/>
      </c>
      <c r="V39" s="66" t="str">
        <f>IF(AND('Mapa Institucional 2024'!$Y$27="Baja",'Mapa Institucional 2024'!$AA$27="Moderado"),CONCATENATE("R4C",'Mapa Institucional 2024'!$O$27),"")</f>
        <v/>
      </c>
      <c r="W39" s="67" t="str">
        <f>IF(AND('Mapa Institucional 2024'!$Y$28="Baja",'Mapa Institucional 2024'!$AA$28="Moderado"),CONCATENATE("R4C",'Mapa Institucional 2024'!$O$28),"")</f>
        <v/>
      </c>
      <c r="X39" s="67" t="str">
        <f>IF(AND('Mapa Institucional 2024'!$Y$29="Baja",'Mapa Institucional 2024'!$AA$29="Moderado"),CONCATENATE("R4C",'Mapa Institucional 2024'!$O$29),"")</f>
        <v/>
      </c>
      <c r="Y39" s="67" t="str">
        <f>IF(AND('Mapa Institucional 2024'!$Y$30="Baja",'Mapa Institucional 2024'!$AA$30="Moderado"),CONCATENATE("R4C",'Mapa Institucional 2024'!$O$30),"")</f>
        <v/>
      </c>
      <c r="Z39" s="67" t="str">
        <f>IF(AND('Mapa Institucional 2024'!$Y$31="Baja",'Mapa Institucional 2024'!$AA$31="Moderado"),CONCATENATE("R4C",'Mapa Institucional 2024'!$O$31),"")</f>
        <v/>
      </c>
      <c r="AA39" s="68" t="str">
        <f>IF(AND('Mapa Institucional 2024'!$Y$32="Baja",'Mapa Institucional 2024'!$AA$32="Moderado"),CONCATENATE("R4C",'Mapa Institucional 2024'!$O$32),"")</f>
        <v/>
      </c>
      <c r="AB39" s="50" t="str">
        <f>IF(AND('Mapa Institucional 2024'!$Y$27="Baja",'Mapa Institucional 2024'!$AA$27="Mayor"),CONCATENATE("R4C",'Mapa Institucional 2024'!$O$27),"")</f>
        <v/>
      </c>
      <c r="AC39" s="51" t="str">
        <f>IF(AND('Mapa Institucional 2024'!$Y$28="Baja",'Mapa Institucional 2024'!$AA$28="Mayor"),CONCATENATE("R4C",'Mapa Institucional 2024'!$O$28),"")</f>
        <v/>
      </c>
      <c r="AD39" s="51" t="str">
        <f>IF(AND('Mapa Institucional 2024'!$Y$29="Baja",'Mapa Institucional 2024'!$AA$29="Mayor"),CONCATENATE("R4C",'Mapa Institucional 2024'!$O$29),"")</f>
        <v/>
      </c>
      <c r="AE39" s="51" t="str">
        <f>IF(AND('Mapa Institucional 2024'!$Y$30="Baja",'Mapa Institucional 2024'!$AA$30="Mayor"),CONCATENATE("R4C",'Mapa Institucional 2024'!$O$30),"")</f>
        <v/>
      </c>
      <c r="AF39" s="51" t="str">
        <f>IF(AND('Mapa Institucional 2024'!$Y$31="Baja",'Mapa Institucional 2024'!$AA$31="Mayor"),CONCATENATE("R4C",'Mapa Institucional 2024'!$O$31),"")</f>
        <v/>
      </c>
      <c r="AG39" s="52" t="str">
        <f>IF(AND('Mapa Institucional 2024'!$Y$32="Baja",'Mapa Institucional 2024'!$AA$32="Mayor"),CONCATENATE("R4C",'Mapa Institucional 2024'!$O$32),"")</f>
        <v/>
      </c>
      <c r="AH39" s="53" t="str">
        <f>IF(AND('Mapa Institucional 2024'!$Y$27="Baja",'Mapa Institucional 2024'!$AA$27="Catastrófico"),CONCATENATE("R4C",'Mapa Institucional 2024'!$O$27),"")</f>
        <v/>
      </c>
      <c r="AI39" s="54" t="str">
        <f>IF(AND('Mapa Institucional 2024'!$Y$28="Baja",'Mapa Institucional 2024'!$AA$28="Catastrófico"),CONCATENATE("R4C",'Mapa Institucional 2024'!$O$28),"")</f>
        <v/>
      </c>
      <c r="AJ39" s="54" t="str">
        <f>IF(AND('Mapa Institucional 2024'!$Y$29="Baja",'Mapa Institucional 2024'!$AA$29="Catastrófico"),CONCATENATE("R4C",'Mapa Institucional 2024'!$O$29),"")</f>
        <v/>
      </c>
      <c r="AK39" s="54" t="str">
        <f>IF(AND('Mapa Institucional 2024'!$Y$30="Baja",'Mapa Institucional 2024'!$AA$30="Catastrófico"),CONCATENATE("R4C",'Mapa Institucional 2024'!$O$30),"")</f>
        <v/>
      </c>
      <c r="AL39" s="54" t="str">
        <f>IF(AND('Mapa Institucional 2024'!$Y$31="Baja",'Mapa Institucional 2024'!$AA$31="Catastrófico"),CONCATENATE("R4C",'Mapa Institucional 2024'!$O$31),"")</f>
        <v/>
      </c>
      <c r="AM39" s="55" t="str">
        <f>IF(AND('Mapa Institucional 2024'!$Y$32="Baja",'Mapa Institucional 2024'!$AA$32="Catastrófico"),CONCATENATE("R4C",'Mapa Institucional 2024'!$O$32),"")</f>
        <v/>
      </c>
      <c r="AN39" s="82"/>
      <c r="AO39" s="475"/>
      <c r="AP39" s="476"/>
      <c r="AQ39" s="476"/>
      <c r="AR39" s="476"/>
      <c r="AS39" s="476"/>
      <c r="AT39" s="477"/>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402"/>
      <c r="C40" s="402"/>
      <c r="D40" s="403"/>
      <c r="E40" s="443"/>
      <c r="F40" s="444"/>
      <c r="G40" s="444"/>
      <c r="H40" s="444"/>
      <c r="I40" s="460"/>
      <c r="J40" s="75" t="str">
        <f>IF(AND('Mapa Institucional 2024'!$Y$33="Baja",'Mapa Institucional 2024'!$AA$33="Leve"),CONCATENATE("R5C",'Mapa Institucional 2024'!$O$33),"")</f>
        <v/>
      </c>
      <c r="K40" s="76" t="str">
        <f>IF(AND('Mapa Institucional 2024'!$Y$34="Baja",'Mapa Institucional 2024'!$AA$34="Leve"),CONCATENATE("R5C",'Mapa Institucional 2024'!$O$34),"")</f>
        <v/>
      </c>
      <c r="L40" s="76" t="str">
        <f>IF(AND('Mapa Institucional 2024'!$Y$35="Baja",'Mapa Institucional 2024'!$AA$35="Leve"),CONCATENATE("R5C",'Mapa Institucional 2024'!$O$35),"")</f>
        <v/>
      </c>
      <c r="M40" s="76" t="str">
        <f>IF(AND('Mapa Institucional 2024'!$Y$36="Baja",'Mapa Institucional 2024'!$AA$36="Leve"),CONCATENATE("R5C",'Mapa Institucional 2024'!$O$36),"")</f>
        <v/>
      </c>
      <c r="N40" s="76" t="str">
        <f>IF(AND('Mapa Institucional 2024'!$Y$37="Baja",'Mapa Institucional 2024'!$AA$37="Leve"),CONCATENATE("R5C",'Mapa Institucional 2024'!$O$37),"")</f>
        <v/>
      </c>
      <c r="O40" s="77" t="str">
        <f>IF(AND('Mapa Institucional 2024'!$Y$38="Baja",'Mapa Institucional 2024'!$AA$38="Leve"),CONCATENATE("R5C",'Mapa Institucional 2024'!$O$38),"")</f>
        <v/>
      </c>
      <c r="P40" s="66" t="str">
        <f>IF(AND('Mapa Institucional 2024'!$Y$33="Baja",'Mapa Institucional 2024'!$AA$33="Menor"),CONCATENATE("R5C",'Mapa Institucional 2024'!$O$33),"")</f>
        <v/>
      </c>
      <c r="Q40" s="67" t="str">
        <f>IF(AND('Mapa Institucional 2024'!$Y$34="Baja",'Mapa Institucional 2024'!$AA$34="Menor"),CONCATENATE("R5C",'Mapa Institucional 2024'!$O$34),"")</f>
        <v/>
      </c>
      <c r="R40" s="67" t="str">
        <f>IF(AND('Mapa Institucional 2024'!$Y$35="Baja",'Mapa Institucional 2024'!$AA$35="Menor"),CONCATENATE("R5C",'Mapa Institucional 2024'!$O$35),"")</f>
        <v/>
      </c>
      <c r="S40" s="67" t="str">
        <f>IF(AND('Mapa Institucional 2024'!$Y$36="Baja",'Mapa Institucional 2024'!$AA$36="Menor"),CONCATENATE("R5C",'Mapa Institucional 2024'!$O$36),"")</f>
        <v/>
      </c>
      <c r="T40" s="67" t="str">
        <f>IF(AND('Mapa Institucional 2024'!$Y$37="Baja",'Mapa Institucional 2024'!$AA$37="Menor"),CONCATENATE("R5C",'Mapa Institucional 2024'!$O$37),"")</f>
        <v/>
      </c>
      <c r="U40" s="68" t="str">
        <f>IF(AND('Mapa Institucional 2024'!$Y$38="Baja",'Mapa Institucional 2024'!$AA$38="Menor"),CONCATENATE("R5C",'Mapa Institucional 2024'!$O$38),"")</f>
        <v/>
      </c>
      <c r="V40" s="66" t="str">
        <f>IF(AND('Mapa Institucional 2024'!$Y$33="Baja",'Mapa Institucional 2024'!$AA$33="Moderado"),CONCATENATE("R5C",'Mapa Institucional 2024'!$O$33),"")</f>
        <v/>
      </c>
      <c r="W40" s="67" t="str">
        <f>IF(AND('Mapa Institucional 2024'!$Y$34="Baja",'Mapa Institucional 2024'!$AA$34="Moderado"),CONCATENATE("R5C",'Mapa Institucional 2024'!$O$34),"")</f>
        <v/>
      </c>
      <c r="X40" s="67" t="str">
        <f>IF(AND('Mapa Institucional 2024'!$Y$35="Baja",'Mapa Institucional 2024'!$AA$35="Moderado"),CONCATENATE("R5C",'Mapa Institucional 2024'!$O$35),"")</f>
        <v/>
      </c>
      <c r="Y40" s="67" t="str">
        <f>IF(AND('Mapa Institucional 2024'!$Y$36="Baja",'Mapa Institucional 2024'!$AA$36="Moderado"),CONCATENATE("R5C",'Mapa Institucional 2024'!$O$36),"")</f>
        <v/>
      </c>
      <c r="Z40" s="67" t="str">
        <f>IF(AND('Mapa Institucional 2024'!$Y$37="Baja",'Mapa Institucional 2024'!$AA$37="Moderado"),CONCATENATE("R5C",'Mapa Institucional 2024'!$O$37),"")</f>
        <v/>
      </c>
      <c r="AA40" s="68" t="str">
        <f>IF(AND('Mapa Institucional 2024'!$Y$38="Baja",'Mapa Institucional 2024'!$AA$38="Moderado"),CONCATENATE("R5C",'Mapa Institucional 2024'!$O$38),"")</f>
        <v/>
      </c>
      <c r="AB40" s="50" t="str">
        <f>IF(AND('Mapa Institucional 2024'!$Y$33="Baja",'Mapa Institucional 2024'!$AA$33="Mayor"),CONCATENATE("R5C",'Mapa Institucional 2024'!$O$33),"")</f>
        <v/>
      </c>
      <c r="AC40" s="51" t="str">
        <f>IF(AND('Mapa Institucional 2024'!$Y$34="Baja",'Mapa Institucional 2024'!$AA$34="Mayor"),CONCATENATE("R5C",'Mapa Institucional 2024'!$O$34),"")</f>
        <v/>
      </c>
      <c r="AD40" s="56" t="str">
        <f>IF(AND('Mapa Institucional 2024'!$Y$35="Baja",'Mapa Institucional 2024'!$AA$35="Mayor"),CONCATENATE("R5C",'Mapa Institucional 2024'!$O$35),"")</f>
        <v/>
      </c>
      <c r="AE40" s="56" t="str">
        <f>IF(AND('Mapa Institucional 2024'!$Y$36="Baja",'Mapa Institucional 2024'!$AA$36="Mayor"),CONCATENATE("R5C",'Mapa Institucional 2024'!$O$36),"")</f>
        <v/>
      </c>
      <c r="AF40" s="56" t="str">
        <f>IF(AND('Mapa Institucional 2024'!$Y$37="Baja",'Mapa Institucional 2024'!$AA$37="Mayor"),CONCATENATE("R5C",'Mapa Institucional 2024'!$O$37),"")</f>
        <v/>
      </c>
      <c r="AG40" s="52" t="str">
        <f>IF(AND('Mapa Institucional 2024'!$Y$38="Baja",'Mapa Institucional 2024'!$AA$38="Mayor"),CONCATENATE("R5C",'Mapa Institucional 2024'!$O$38),"")</f>
        <v/>
      </c>
      <c r="AH40" s="53" t="str">
        <f>IF(AND('Mapa Institucional 2024'!$Y$33="Baja",'Mapa Institucional 2024'!$AA$33="Catastrófico"),CONCATENATE("R5C",'Mapa Institucional 2024'!$O$33),"")</f>
        <v/>
      </c>
      <c r="AI40" s="54" t="str">
        <f>IF(AND('Mapa Institucional 2024'!$Y$34="Baja",'Mapa Institucional 2024'!$AA$34="Catastrófico"),CONCATENATE("R5C",'Mapa Institucional 2024'!$O$34),"")</f>
        <v/>
      </c>
      <c r="AJ40" s="54" t="str">
        <f>IF(AND('Mapa Institucional 2024'!$Y$35="Baja",'Mapa Institucional 2024'!$AA$35="Catastrófico"),CONCATENATE("R5C",'Mapa Institucional 2024'!$O$35),"")</f>
        <v/>
      </c>
      <c r="AK40" s="54" t="str">
        <f>IF(AND('Mapa Institucional 2024'!$Y$36="Baja",'Mapa Institucional 2024'!$AA$36="Catastrófico"),CONCATENATE("R5C",'Mapa Institucional 2024'!$O$36),"")</f>
        <v/>
      </c>
      <c r="AL40" s="54" t="str">
        <f>IF(AND('Mapa Institucional 2024'!$Y$37="Baja",'Mapa Institucional 2024'!$AA$37="Catastrófico"),CONCATENATE("R5C",'Mapa Institucional 2024'!$O$37),"")</f>
        <v/>
      </c>
      <c r="AM40" s="55" t="str">
        <f>IF(AND('Mapa Institucional 2024'!$Y$38="Baja",'Mapa Institucional 2024'!$AA$38="Catastrófico"),CONCATENATE("R5C",'Mapa Institucional 2024'!$O$38),"")</f>
        <v/>
      </c>
      <c r="AN40" s="82"/>
      <c r="AO40" s="475"/>
      <c r="AP40" s="476"/>
      <c r="AQ40" s="476"/>
      <c r="AR40" s="476"/>
      <c r="AS40" s="476"/>
      <c r="AT40" s="477"/>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402"/>
      <c r="C41" s="402"/>
      <c r="D41" s="403"/>
      <c r="E41" s="443"/>
      <c r="F41" s="444"/>
      <c r="G41" s="444"/>
      <c r="H41" s="444"/>
      <c r="I41" s="460"/>
      <c r="J41" s="75" t="str">
        <f>IF(AND('Mapa Institucional 2024'!$Y$39="Baja",'Mapa Institucional 2024'!$AA$39="Leve"),CONCATENATE("R6C",'Mapa Institucional 2024'!$O$39),"")</f>
        <v/>
      </c>
      <c r="K41" s="76" t="str">
        <f>IF(AND('Mapa Institucional 2024'!$Y$40="Baja",'Mapa Institucional 2024'!$AA$40="Leve"),CONCATENATE("R6C",'Mapa Institucional 2024'!$O$40),"")</f>
        <v/>
      </c>
      <c r="L41" s="76" t="str">
        <f>IF(AND('Mapa Institucional 2024'!$Y$41="Baja",'Mapa Institucional 2024'!$AA$41="Leve"),CONCATENATE("R6C",'Mapa Institucional 2024'!$O$41),"")</f>
        <v/>
      </c>
      <c r="M41" s="76" t="str">
        <f>IF(AND('Mapa Institucional 2024'!$Y$42="Baja",'Mapa Institucional 2024'!$AA$42="Leve"),CONCATENATE("R6C",'Mapa Institucional 2024'!$O$42),"")</f>
        <v/>
      </c>
      <c r="N41" s="76" t="str">
        <f>IF(AND('Mapa Institucional 2024'!$Y$43="Baja",'Mapa Institucional 2024'!$AA$43="Leve"),CONCATENATE("R6C",'Mapa Institucional 2024'!$O$43),"")</f>
        <v/>
      </c>
      <c r="O41" s="77" t="str">
        <f>IF(AND('Mapa Institucional 2024'!$Y$44="Baja",'Mapa Institucional 2024'!$AA$44="Leve"),CONCATENATE("R6C",'Mapa Institucional 2024'!$O$44),"")</f>
        <v/>
      </c>
      <c r="P41" s="66" t="str">
        <f>IF(AND('Mapa Institucional 2024'!$Y$39="Baja",'Mapa Institucional 2024'!$AA$39="Menor"),CONCATENATE("R6C",'Mapa Institucional 2024'!$O$39),"")</f>
        <v/>
      </c>
      <c r="Q41" s="67" t="str">
        <f>IF(AND('Mapa Institucional 2024'!$Y$40="Baja",'Mapa Institucional 2024'!$AA$40="Menor"),CONCATENATE("R6C",'Mapa Institucional 2024'!$O$40),"")</f>
        <v/>
      </c>
      <c r="R41" s="67" t="str">
        <f>IF(AND('Mapa Institucional 2024'!$Y$41="Baja",'Mapa Institucional 2024'!$AA$41="Menor"),CONCATENATE("R6C",'Mapa Institucional 2024'!$O$41),"")</f>
        <v/>
      </c>
      <c r="S41" s="67" t="str">
        <f>IF(AND('Mapa Institucional 2024'!$Y$42="Baja",'Mapa Institucional 2024'!$AA$42="Menor"),CONCATENATE("R6C",'Mapa Institucional 2024'!$O$42),"")</f>
        <v/>
      </c>
      <c r="T41" s="67" t="str">
        <f>IF(AND('Mapa Institucional 2024'!$Y$43="Baja",'Mapa Institucional 2024'!$AA$43="Menor"),CONCATENATE("R6C",'Mapa Institucional 2024'!$O$43),"")</f>
        <v/>
      </c>
      <c r="U41" s="68" t="str">
        <f>IF(AND('Mapa Institucional 2024'!$Y$44="Baja",'Mapa Institucional 2024'!$AA$44="Menor"),CONCATENATE("R6C",'Mapa Institucional 2024'!$O$44),"")</f>
        <v/>
      </c>
      <c r="V41" s="66" t="str">
        <f>IF(AND('Mapa Institucional 2024'!$Y$39="Baja",'Mapa Institucional 2024'!$AA$39="Moderado"),CONCATENATE("R6C",'Mapa Institucional 2024'!$O$39),"")</f>
        <v/>
      </c>
      <c r="W41" s="67" t="str">
        <f>IF(AND('Mapa Institucional 2024'!$Y$40="Baja",'Mapa Institucional 2024'!$AA$40="Moderado"),CONCATENATE("R6C",'Mapa Institucional 2024'!$O$40),"")</f>
        <v/>
      </c>
      <c r="X41" s="67" t="str">
        <f>IF(AND('Mapa Institucional 2024'!$Y$41="Baja",'Mapa Institucional 2024'!$AA$41="Moderado"),CONCATENATE("R6C",'Mapa Institucional 2024'!$O$41),"")</f>
        <v/>
      </c>
      <c r="Y41" s="67" t="str">
        <f>IF(AND('Mapa Institucional 2024'!$Y$42="Baja",'Mapa Institucional 2024'!$AA$42="Moderado"),CONCATENATE("R6C",'Mapa Institucional 2024'!$O$42),"")</f>
        <v/>
      </c>
      <c r="Z41" s="67" t="str">
        <f>IF(AND('Mapa Institucional 2024'!$Y$43="Baja",'Mapa Institucional 2024'!$AA$43="Moderado"),CONCATENATE("R6C",'Mapa Institucional 2024'!$O$43),"")</f>
        <v/>
      </c>
      <c r="AA41" s="68" t="str">
        <f>IF(AND('Mapa Institucional 2024'!$Y$44="Baja",'Mapa Institucional 2024'!$AA$44="Moderado"),CONCATENATE("R6C",'Mapa Institucional 2024'!$O$44),"")</f>
        <v/>
      </c>
      <c r="AB41" s="50" t="str">
        <f>IF(AND('Mapa Institucional 2024'!$Y$39="Baja",'Mapa Institucional 2024'!$AA$39="Mayor"),CONCATENATE("R6C",'Mapa Institucional 2024'!$O$39),"")</f>
        <v/>
      </c>
      <c r="AC41" s="51" t="str">
        <f>IF(AND('Mapa Institucional 2024'!$Y$40="Baja",'Mapa Institucional 2024'!$AA$40="Mayor"),CONCATENATE("R6C",'Mapa Institucional 2024'!$O$40),"")</f>
        <v/>
      </c>
      <c r="AD41" s="56" t="str">
        <f>IF(AND('Mapa Institucional 2024'!$Y$41="Baja",'Mapa Institucional 2024'!$AA$41="Mayor"),CONCATENATE("R6C",'Mapa Institucional 2024'!$O$41),"")</f>
        <v/>
      </c>
      <c r="AE41" s="56" t="str">
        <f>IF(AND('Mapa Institucional 2024'!$Y$42="Baja",'Mapa Institucional 2024'!$AA$42="Mayor"),CONCATENATE("R6C",'Mapa Institucional 2024'!$O$42),"")</f>
        <v/>
      </c>
      <c r="AF41" s="56" t="str">
        <f>IF(AND('Mapa Institucional 2024'!$Y$43="Baja",'Mapa Institucional 2024'!$AA$43="Mayor"),CONCATENATE("R6C",'Mapa Institucional 2024'!$O$43),"")</f>
        <v/>
      </c>
      <c r="AG41" s="52" t="str">
        <f>IF(AND('Mapa Institucional 2024'!$Y$44="Baja",'Mapa Institucional 2024'!$AA$44="Mayor"),CONCATENATE("R6C",'Mapa Institucional 2024'!$O$44),"")</f>
        <v/>
      </c>
      <c r="AH41" s="53" t="str">
        <f>IF(AND('Mapa Institucional 2024'!$Y$39="Baja",'Mapa Institucional 2024'!$AA$39="Catastrófico"),CONCATENATE("R6C",'Mapa Institucional 2024'!$O$39),"")</f>
        <v/>
      </c>
      <c r="AI41" s="54" t="str">
        <f>IF(AND('Mapa Institucional 2024'!$Y$40="Baja",'Mapa Institucional 2024'!$AA$40="Catastrófico"),CONCATENATE("R6C",'Mapa Institucional 2024'!$O$40),"")</f>
        <v/>
      </c>
      <c r="AJ41" s="54" t="str">
        <f>IF(AND('Mapa Institucional 2024'!$Y$41="Baja",'Mapa Institucional 2024'!$AA$41="Catastrófico"),CONCATENATE("R6C",'Mapa Institucional 2024'!$O$41),"")</f>
        <v/>
      </c>
      <c r="AK41" s="54" t="str">
        <f>IF(AND('Mapa Institucional 2024'!$Y$42="Baja",'Mapa Institucional 2024'!$AA$42="Catastrófico"),CONCATENATE("R6C",'Mapa Institucional 2024'!$O$42),"")</f>
        <v/>
      </c>
      <c r="AL41" s="54" t="str">
        <f>IF(AND('Mapa Institucional 2024'!$Y$43="Baja",'Mapa Institucional 2024'!$AA$43="Catastrófico"),CONCATENATE("R6C",'Mapa Institucional 2024'!$O$43),"")</f>
        <v/>
      </c>
      <c r="AM41" s="55" t="str">
        <f>IF(AND('Mapa Institucional 2024'!$Y$44="Baja",'Mapa Institucional 2024'!$AA$44="Catastrófico"),CONCATENATE("R6C",'Mapa Institucional 2024'!$O$44),"")</f>
        <v/>
      </c>
      <c r="AN41" s="82"/>
      <c r="AO41" s="475"/>
      <c r="AP41" s="476"/>
      <c r="AQ41" s="476"/>
      <c r="AR41" s="476"/>
      <c r="AS41" s="476"/>
      <c r="AT41" s="477"/>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402"/>
      <c r="C42" s="402"/>
      <c r="D42" s="403"/>
      <c r="E42" s="443"/>
      <c r="F42" s="444"/>
      <c r="G42" s="444"/>
      <c r="H42" s="444"/>
      <c r="I42" s="460"/>
      <c r="J42" s="75" t="str">
        <f>IF(AND('Mapa Institucional 2024'!$Y$45="Baja",'Mapa Institucional 2024'!$AA$45="Leve"),CONCATENATE("R7C",'Mapa Institucional 2024'!$O$45),"")</f>
        <v/>
      </c>
      <c r="K42" s="76" t="str">
        <f>IF(AND('Mapa Institucional 2024'!$Y$46="Baja",'Mapa Institucional 2024'!$AA$46="Leve"),CONCATENATE("R7C",'Mapa Institucional 2024'!$O$46),"")</f>
        <v/>
      </c>
      <c r="L42" s="76" t="str">
        <f>IF(AND('Mapa Institucional 2024'!$Y$47="Baja",'Mapa Institucional 2024'!$AA$47="Leve"),CONCATENATE("R7C",'Mapa Institucional 2024'!$O$47),"")</f>
        <v/>
      </c>
      <c r="M42" s="76" t="str">
        <f>IF(AND('Mapa Institucional 2024'!$Y$48="Baja",'Mapa Institucional 2024'!$AA$48="Leve"),CONCATENATE("R7C",'Mapa Institucional 2024'!$O$48),"")</f>
        <v/>
      </c>
      <c r="N42" s="76" t="str">
        <f>IF(AND('Mapa Institucional 2024'!$Y$49="Baja",'Mapa Institucional 2024'!$AA$49="Leve"),CONCATENATE("R7C",'Mapa Institucional 2024'!$O$49),"")</f>
        <v/>
      </c>
      <c r="O42" s="77" t="str">
        <f>IF(AND('Mapa Institucional 2024'!$Y$50="Baja",'Mapa Institucional 2024'!$AA$50="Leve"),CONCATENATE("R7C",'Mapa Institucional 2024'!$O$50),"")</f>
        <v/>
      </c>
      <c r="P42" s="66" t="str">
        <f>IF(AND('Mapa Institucional 2024'!$Y$45="Baja",'Mapa Institucional 2024'!$AA$45="Menor"),CONCATENATE("R7C",'Mapa Institucional 2024'!$O$45),"")</f>
        <v/>
      </c>
      <c r="Q42" s="67" t="str">
        <f>IF(AND('Mapa Institucional 2024'!$Y$46="Baja",'Mapa Institucional 2024'!$AA$46="Menor"),CONCATENATE("R7C",'Mapa Institucional 2024'!$O$46),"")</f>
        <v/>
      </c>
      <c r="R42" s="67" t="str">
        <f>IF(AND('Mapa Institucional 2024'!$Y$47="Baja",'Mapa Institucional 2024'!$AA$47="Menor"),CONCATENATE("R7C",'Mapa Institucional 2024'!$O$47),"")</f>
        <v/>
      </c>
      <c r="S42" s="67" t="str">
        <f>IF(AND('Mapa Institucional 2024'!$Y$48="Baja",'Mapa Institucional 2024'!$AA$48="Menor"),CONCATENATE("R7C",'Mapa Institucional 2024'!$O$48),"")</f>
        <v/>
      </c>
      <c r="T42" s="67" t="str">
        <f>IF(AND('Mapa Institucional 2024'!$Y$49="Baja",'Mapa Institucional 2024'!$AA$49="Menor"),CONCATENATE("R7C",'Mapa Institucional 2024'!$O$49),"")</f>
        <v/>
      </c>
      <c r="U42" s="68" t="str">
        <f>IF(AND('Mapa Institucional 2024'!$Y$50="Baja",'Mapa Institucional 2024'!$AA$50="Menor"),CONCATENATE("R7C",'Mapa Institucional 2024'!$O$50),"")</f>
        <v/>
      </c>
      <c r="V42" s="66" t="str">
        <f>IF(AND('Mapa Institucional 2024'!$Y$45="Baja",'Mapa Institucional 2024'!$AA$45="Moderado"),CONCATENATE("R7C",'Mapa Institucional 2024'!$O$45),"")</f>
        <v/>
      </c>
      <c r="W42" s="67" t="str">
        <f>IF(AND('Mapa Institucional 2024'!$Y$46="Baja",'Mapa Institucional 2024'!$AA$46="Moderado"),CONCATENATE("R7C",'Mapa Institucional 2024'!$O$46),"")</f>
        <v/>
      </c>
      <c r="X42" s="67" t="str">
        <f>IF(AND('Mapa Institucional 2024'!$Y$47="Baja",'Mapa Institucional 2024'!$AA$47="Moderado"),CONCATENATE("R7C",'Mapa Institucional 2024'!$O$47),"")</f>
        <v/>
      </c>
      <c r="Y42" s="67" t="str">
        <f>IF(AND('Mapa Institucional 2024'!$Y$48="Baja",'Mapa Institucional 2024'!$AA$48="Moderado"),CONCATENATE("R7C",'Mapa Institucional 2024'!$O$48),"")</f>
        <v/>
      </c>
      <c r="Z42" s="67" t="str">
        <f>IF(AND('Mapa Institucional 2024'!$Y$49="Baja",'Mapa Institucional 2024'!$AA$49="Moderado"),CONCATENATE("R7C",'Mapa Institucional 2024'!$O$49),"")</f>
        <v/>
      </c>
      <c r="AA42" s="68" t="str">
        <f>IF(AND('Mapa Institucional 2024'!$Y$50="Baja",'Mapa Institucional 2024'!$AA$50="Moderado"),CONCATENATE("R7C",'Mapa Institucional 2024'!$O$50),"")</f>
        <v/>
      </c>
      <c r="AB42" s="50" t="str">
        <f>IF(AND('Mapa Institucional 2024'!$Y$45="Baja",'Mapa Institucional 2024'!$AA$45="Mayor"),CONCATENATE("R7C",'Mapa Institucional 2024'!$O$45),"")</f>
        <v/>
      </c>
      <c r="AC42" s="51" t="str">
        <f>IF(AND('Mapa Institucional 2024'!$Y$46="Baja",'Mapa Institucional 2024'!$AA$46="Mayor"),CONCATENATE("R7C",'Mapa Institucional 2024'!$O$46),"")</f>
        <v/>
      </c>
      <c r="AD42" s="56" t="str">
        <f>IF(AND('Mapa Institucional 2024'!$Y$47="Baja",'Mapa Institucional 2024'!$AA$47="Mayor"),CONCATENATE("R7C",'Mapa Institucional 2024'!$O$47),"")</f>
        <v/>
      </c>
      <c r="AE42" s="56" t="str">
        <f>IF(AND('Mapa Institucional 2024'!$Y$48="Baja",'Mapa Institucional 2024'!$AA$48="Mayor"),CONCATENATE("R7C",'Mapa Institucional 2024'!$O$48),"")</f>
        <v/>
      </c>
      <c r="AF42" s="56" t="str">
        <f>IF(AND('Mapa Institucional 2024'!$Y$49="Baja",'Mapa Institucional 2024'!$AA$49="Mayor"),CONCATENATE("R7C",'Mapa Institucional 2024'!$O$49),"")</f>
        <v/>
      </c>
      <c r="AG42" s="52" t="str">
        <f>IF(AND('Mapa Institucional 2024'!$Y$50="Baja",'Mapa Institucional 2024'!$AA$50="Mayor"),CONCATENATE("R7C",'Mapa Institucional 2024'!$O$50),"")</f>
        <v/>
      </c>
      <c r="AH42" s="53" t="str">
        <f>IF(AND('Mapa Institucional 2024'!$Y$45="Baja",'Mapa Institucional 2024'!$AA$45="Catastrófico"),CONCATENATE("R7C",'Mapa Institucional 2024'!$O$45),"")</f>
        <v/>
      </c>
      <c r="AI42" s="54" t="str">
        <f>IF(AND('Mapa Institucional 2024'!$Y$46="Baja",'Mapa Institucional 2024'!$AA$46="Catastrófico"),CONCATENATE("R7C",'Mapa Institucional 2024'!$O$46),"")</f>
        <v/>
      </c>
      <c r="AJ42" s="54" t="str">
        <f>IF(AND('Mapa Institucional 2024'!$Y$47="Baja",'Mapa Institucional 2024'!$AA$47="Catastrófico"),CONCATENATE("R7C",'Mapa Institucional 2024'!$O$47),"")</f>
        <v/>
      </c>
      <c r="AK42" s="54" t="str">
        <f>IF(AND('Mapa Institucional 2024'!$Y$48="Baja",'Mapa Institucional 2024'!$AA$48="Catastrófico"),CONCATENATE("R7C",'Mapa Institucional 2024'!$O$48),"")</f>
        <v/>
      </c>
      <c r="AL42" s="54" t="str">
        <f>IF(AND('Mapa Institucional 2024'!$Y$49="Baja",'Mapa Institucional 2024'!$AA$49="Catastrófico"),CONCATENATE("R7C",'Mapa Institucional 2024'!$O$49),"")</f>
        <v/>
      </c>
      <c r="AM42" s="55" t="str">
        <f>IF(AND('Mapa Institucional 2024'!$Y$50="Baja",'Mapa Institucional 2024'!$AA$50="Catastrófico"),CONCATENATE("R7C",'Mapa Institucional 2024'!$O$50),"")</f>
        <v/>
      </c>
      <c r="AN42" s="82"/>
      <c r="AO42" s="475"/>
      <c r="AP42" s="476"/>
      <c r="AQ42" s="476"/>
      <c r="AR42" s="476"/>
      <c r="AS42" s="476"/>
      <c r="AT42" s="477"/>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402"/>
      <c r="C43" s="402"/>
      <c r="D43" s="403"/>
      <c r="E43" s="443"/>
      <c r="F43" s="444"/>
      <c r="G43" s="444"/>
      <c r="H43" s="444"/>
      <c r="I43" s="460"/>
      <c r="J43" s="75" t="str">
        <f>IF(AND('Mapa Institucional 2024'!$Y$51="Baja",'Mapa Institucional 2024'!$AA$51="Leve"),CONCATENATE("R8C",'Mapa Institucional 2024'!$O$51),"")</f>
        <v/>
      </c>
      <c r="K43" s="76" t="str">
        <f>IF(AND('Mapa Institucional 2024'!$Y$52="Baja",'Mapa Institucional 2024'!$AA$52="Leve"),CONCATENATE("R8C",'Mapa Institucional 2024'!$O$52),"")</f>
        <v/>
      </c>
      <c r="L43" s="76" t="str">
        <f>IF(AND('Mapa Institucional 2024'!$Y$53="Baja",'Mapa Institucional 2024'!$AA$53="Leve"),CONCATENATE("R8C",'Mapa Institucional 2024'!$O$53),"")</f>
        <v/>
      </c>
      <c r="M43" s="76" t="str">
        <f>IF(AND('Mapa Institucional 2024'!$Y$54="Baja",'Mapa Institucional 2024'!$AA$54="Leve"),CONCATENATE("R8C",'Mapa Institucional 2024'!$O$54),"")</f>
        <v/>
      </c>
      <c r="N43" s="76" t="str">
        <f>IF(AND('Mapa Institucional 2024'!$Y$55="Baja",'Mapa Institucional 2024'!$AA$55="Leve"),CONCATENATE("R8C",'Mapa Institucional 2024'!$O$55),"")</f>
        <v/>
      </c>
      <c r="O43" s="77" t="str">
        <f>IF(AND('Mapa Institucional 2024'!$Y$56="Baja",'Mapa Institucional 2024'!$AA$56="Leve"),CONCATENATE("R8C",'Mapa Institucional 2024'!$O$56),"")</f>
        <v/>
      </c>
      <c r="P43" s="66" t="str">
        <f>IF(AND('Mapa Institucional 2024'!$Y$51="Baja",'Mapa Institucional 2024'!$AA$51="Menor"),CONCATENATE("R8C",'Mapa Institucional 2024'!$O$51),"")</f>
        <v/>
      </c>
      <c r="Q43" s="67" t="str">
        <f>IF(AND('Mapa Institucional 2024'!$Y$52="Baja",'Mapa Institucional 2024'!$AA$52="Menor"),CONCATENATE("R8C",'Mapa Institucional 2024'!$O$52),"")</f>
        <v/>
      </c>
      <c r="R43" s="67" t="str">
        <f>IF(AND('Mapa Institucional 2024'!$Y$53="Baja",'Mapa Institucional 2024'!$AA$53="Menor"),CONCATENATE("R8C",'Mapa Institucional 2024'!$O$53),"")</f>
        <v/>
      </c>
      <c r="S43" s="67" t="str">
        <f>IF(AND('Mapa Institucional 2024'!$Y$54="Baja",'Mapa Institucional 2024'!$AA$54="Menor"),CONCATENATE("R8C",'Mapa Institucional 2024'!$O$54),"")</f>
        <v/>
      </c>
      <c r="T43" s="67" t="str">
        <f>IF(AND('Mapa Institucional 2024'!$Y$55="Baja",'Mapa Institucional 2024'!$AA$55="Menor"),CONCATENATE("R8C",'Mapa Institucional 2024'!$O$55),"")</f>
        <v/>
      </c>
      <c r="U43" s="68" t="str">
        <f>IF(AND('Mapa Institucional 2024'!$Y$56="Baja",'Mapa Institucional 2024'!$AA$56="Menor"),CONCATENATE("R8C",'Mapa Institucional 2024'!$O$56),"")</f>
        <v/>
      </c>
      <c r="V43" s="66" t="str">
        <f>IF(AND('Mapa Institucional 2024'!$Y$51="Baja",'Mapa Institucional 2024'!$AA$51="Moderado"),CONCATENATE("R8C",'Mapa Institucional 2024'!$O$51),"")</f>
        <v/>
      </c>
      <c r="W43" s="67" t="str">
        <f>IF(AND('Mapa Institucional 2024'!$Y$52="Baja",'Mapa Institucional 2024'!$AA$52="Moderado"),CONCATENATE("R8C",'Mapa Institucional 2024'!$O$52),"")</f>
        <v/>
      </c>
      <c r="X43" s="67" t="str">
        <f>IF(AND('Mapa Institucional 2024'!$Y$53="Baja",'Mapa Institucional 2024'!$AA$53="Moderado"),CONCATENATE("R8C",'Mapa Institucional 2024'!$O$53),"")</f>
        <v/>
      </c>
      <c r="Y43" s="67" t="str">
        <f>IF(AND('Mapa Institucional 2024'!$Y$54="Baja",'Mapa Institucional 2024'!$AA$54="Moderado"),CONCATENATE("R8C",'Mapa Institucional 2024'!$O$54),"")</f>
        <v/>
      </c>
      <c r="Z43" s="67" t="str">
        <f>IF(AND('Mapa Institucional 2024'!$Y$55="Baja",'Mapa Institucional 2024'!$AA$55="Moderado"),CONCATENATE("R8C",'Mapa Institucional 2024'!$O$55),"")</f>
        <v/>
      </c>
      <c r="AA43" s="68" t="str">
        <f>IF(AND('Mapa Institucional 2024'!$Y$56="Baja",'Mapa Institucional 2024'!$AA$56="Moderado"),CONCATENATE("R8C",'Mapa Institucional 2024'!$O$56),"")</f>
        <v/>
      </c>
      <c r="AB43" s="50" t="str">
        <f>IF(AND('Mapa Institucional 2024'!$Y$51="Baja",'Mapa Institucional 2024'!$AA$51="Mayor"),CONCATENATE("R8C",'Mapa Institucional 2024'!$O$51),"")</f>
        <v/>
      </c>
      <c r="AC43" s="51" t="str">
        <f>IF(AND('Mapa Institucional 2024'!$Y$52="Baja",'Mapa Institucional 2024'!$AA$52="Mayor"),CONCATENATE("R8C",'Mapa Institucional 2024'!$O$52),"")</f>
        <v/>
      </c>
      <c r="AD43" s="56" t="str">
        <f>IF(AND('Mapa Institucional 2024'!$Y$53="Baja",'Mapa Institucional 2024'!$AA$53="Mayor"),CONCATENATE("R8C",'Mapa Institucional 2024'!$O$53),"")</f>
        <v/>
      </c>
      <c r="AE43" s="56" t="str">
        <f>IF(AND('Mapa Institucional 2024'!$Y$54="Baja",'Mapa Institucional 2024'!$AA$54="Mayor"),CONCATENATE("R8C",'Mapa Institucional 2024'!$O$54),"")</f>
        <v/>
      </c>
      <c r="AF43" s="56" t="str">
        <f>IF(AND('Mapa Institucional 2024'!$Y$55="Baja",'Mapa Institucional 2024'!$AA$55="Mayor"),CONCATENATE("R8C",'Mapa Institucional 2024'!$O$55),"")</f>
        <v/>
      </c>
      <c r="AG43" s="52" t="str">
        <f>IF(AND('Mapa Institucional 2024'!$Y$56="Baja",'Mapa Institucional 2024'!$AA$56="Mayor"),CONCATENATE("R8C",'Mapa Institucional 2024'!$O$56),"")</f>
        <v/>
      </c>
      <c r="AH43" s="53" t="str">
        <f>IF(AND('Mapa Institucional 2024'!$Y$51="Baja",'Mapa Institucional 2024'!$AA$51="Catastrófico"),CONCATENATE("R8C",'Mapa Institucional 2024'!$O$51),"")</f>
        <v/>
      </c>
      <c r="AI43" s="54" t="str">
        <f>IF(AND('Mapa Institucional 2024'!$Y$52="Baja",'Mapa Institucional 2024'!$AA$52="Catastrófico"),CONCATENATE("R8C",'Mapa Institucional 2024'!$O$52),"")</f>
        <v/>
      </c>
      <c r="AJ43" s="54" t="str">
        <f>IF(AND('Mapa Institucional 2024'!$Y$53="Baja",'Mapa Institucional 2024'!$AA$53="Catastrófico"),CONCATENATE("R8C",'Mapa Institucional 2024'!$O$53),"")</f>
        <v/>
      </c>
      <c r="AK43" s="54" t="str">
        <f>IF(AND('Mapa Institucional 2024'!$Y$54="Baja",'Mapa Institucional 2024'!$AA$54="Catastrófico"),CONCATENATE("R8C",'Mapa Institucional 2024'!$O$54),"")</f>
        <v/>
      </c>
      <c r="AL43" s="54" t="str">
        <f>IF(AND('Mapa Institucional 2024'!$Y$55="Baja",'Mapa Institucional 2024'!$AA$55="Catastrófico"),CONCATENATE("R8C",'Mapa Institucional 2024'!$O$55),"")</f>
        <v/>
      </c>
      <c r="AM43" s="55" t="str">
        <f>IF(AND('Mapa Institucional 2024'!$Y$56="Baja",'Mapa Institucional 2024'!$AA$56="Catastrófico"),CONCATENATE("R8C",'Mapa Institucional 2024'!$O$56),"")</f>
        <v/>
      </c>
      <c r="AN43" s="82"/>
      <c r="AO43" s="475"/>
      <c r="AP43" s="476"/>
      <c r="AQ43" s="476"/>
      <c r="AR43" s="476"/>
      <c r="AS43" s="476"/>
      <c r="AT43" s="477"/>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402"/>
      <c r="C44" s="402"/>
      <c r="D44" s="403"/>
      <c r="E44" s="443"/>
      <c r="F44" s="444"/>
      <c r="G44" s="444"/>
      <c r="H44" s="444"/>
      <c r="I44" s="460"/>
      <c r="J44" s="75" t="str">
        <f>IF(AND('Mapa Institucional 2024'!$Y$57="Baja",'Mapa Institucional 2024'!$AA$57="Leve"),CONCATENATE("R9C",'Mapa Institucional 2024'!$O$57),"")</f>
        <v/>
      </c>
      <c r="K44" s="76" t="str">
        <f>IF(AND('Mapa Institucional 2024'!$Y$58="Baja",'Mapa Institucional 2024'!$AA$58="Leve"),CONCATENATE("R9C",'Mapa Institucional 2024'!$O$58),"")</f>
        <v/>
      </c>
      <c r="L44" s="76" t="str">
        <f>IF(AND('Mapa Institucional 2024'!$Y$59="Baja",'Mapa Institucional 2024'!$AA$59="Leve"),CONCATENATE("R9C",'Mapa Institucional 2024'!$O$59),"")</f>
        <v/>
      </c>
      <c r="M44" s="76" t="str">
        <f>IF(AND('Mapa Institucional 2024'!$Y$60="Baja",'Mapa Institucional 2024'!$AA$60="Leve"),CONCATENATE("R9C",'Mapa Institucional 2024'!$O$60),"")</f>
        <v/>
      </c>
      <c r="N44" s="76" t="str">
        <f>IF(AND('Mapa Institucional 2024'!$Y$61="Baja",'Mapa Institucional 2024'!$AA$61="Leve"),CONCATENATE("R9C",'Mapa Institucional 2024'!$O$61),"")</f>
        <v/>
      </c>
      <c r="O44" s="77" t="str">
        <f>IF(AND('Mapa Institucional 2024'!$Y$62="Baja",'Mapa Institucional 2024'!$AA$62="Leve"),CONCATENATE("R9C",'Mapa Institucional 2024'!$O$62),"")</f>
        <v/>
      </c>
      <c r="P44" s="66" t="str">
        <f>IF(AND('Mapa Institucional 2024'!$Y$57="Baja",'Mapa Institucional 2024'!$AA$57="Menor"),CONCATENATE("R9C",'Mapa Institucional 2024'!$O$57),"")</f>
        <v/>
      </c>
      <c r="Q44" s="67" t="str">
        <f>IF(AND('Mapa Institucional 2024'!$Y$58="Baja",'Mapa Institucional 2024'!$AA$58="Menor"),CONCATENATE("R9C",'Mapa Institucional 2024'!$O$58),"")</f>
        <v/>
      </c>
      <c r="R44" s="67" t="str">
        <f>IF(AND('Mapa Institucional 2024'!$Y$59="Baja",'Mapa Institucional 2024'!$AA$59="Menor"),CONCATENATE("R9C",'Mapa Institucional 2024'!$O$59),"")</f>
        <v/>
      </c>
      <c r="S44" s="67" t="str">
        <f>IF(AND('Mapa Institucional 2024'!$Y$60="Baja",'Mapa Institucional 2024'!$AA$60="Menor"),CONCATENATE("R9C",'Mapa Institucional 2024'!$O$60),"")</f>
        <v/>
      </c>
      <c r="T44" s="67" t="str">
        <f>IF(AND('Mapa Institucional 2024'!$Y$61="Baja",'Mapa Institucional 2024'!$AA$61="Menor"),CONCATENATE("R9C",'Mapa Institucional 2024'!$O$61),"")</f>
        <v/>
      </c>
      <c r="U44" s="68" t="str">
        <f>IF(AND('Mapa Institucional 2024'!$Y$62="Baja",'Mapa Institucional 2024'!$AA$62="Menor"),CONCATENATE("R9C",'Mapa Institucional 2024'!$O$62),"")</f>
        <v/>
      </c>
      <c r="V44" s="66" t="str">
        <f>IF(AND('Mapa Institucional 2024'!$Y$57="Baja",'Mapa Institucional 2024'!$AA$57="Moderado"),CONCATENATE("R9C",'Mapa Institucional 2024'!$O$57),"")</f>
        <v/>
      </c>
      <c r="W44" s="67" t="str">
        <f>IF(AND('Mapa Institucional 2024'!$Y$58="Baja",'Mapa Institucional 2024'!$AA$58="Moderado"),CONCATENATE("R9C",'Mapa Institucional 2024'!$O$58),"")</f>
        <v/>
      </c>
      <c r="X44" s="67" t="str">
        <f>IF(AND('Mapa Institucional 2024'!$Y$59="Baja",'Mapa Institucional 2024'!$AA$59="Moderado"),CONCATENATE("R9C",'Mapa Institucional 2024'!$O$59),"")</f>
        <v/>
      </c>
      <c r="Y44" s="67" t="str">
        <f>IF(AND('Mapa Institucional 2024'!$Y$60="Baja",'Mapa Institucional 2024'!$AA$60="Moderado"),CONCATENATE("R9C",'Mapa Institucional 2024'!$O$60),"")</f>
        <v/>
      </c>
      <c r="Z44" s="67" t="str">
        <f>IF(AND('Mapa Institucional 2024'!$Y$61="Baja",'Mapa Institucional 2024'!$AA$61="Moderado"),CONCATENATE("R9C",'Mapa Institucional 2024'!$O$61),"")</f>
        <v/>
      </c>
      <c r="AA44" s="68" t="str">
        <f>IF(AND('Mapa Institucional 2024'!$Y$62="Baja",'Mapa Institucional 2024'!$AA$62="Moderado"),CONCATENATE("R9C",'Mapa Institucional 2024'!$O$62),"")</f>
        <v/>
      </c>
      <c r="AB44" s="50" t="str">
        <f>IF(AND('Mapa Institucional 2024'!$Y$57="Baja",'Mapa Institucional 2024'!$AA$57="Mayor"),CONCATENATE("R9C",'Mapa Institucional 2024'!$O$57),"")</f>
        <v/>
      </c>
      <c r="AC44" s="51" t="str">
        <f>IF(AND('Mapa Institucional 2024'!$Y$58="Baja",'Mapa Institucional 2024'!$AA$58="Mayor"),CONCATENATE("R9C",'Mapa Institucional 2024'!$O$58),"")</f>
        <v/>
      </c>
      <c r="AD44" s="56" t="str">
        <f>IF(AND('Mapa Institucional 2024'!$Y$59="Baja",'Mapa Institucional 2024'!$AA$59="Mayor"),CONCATENATE("R9C",'Mapa Institucional 2024'!$O$59),"")</f>
        <v/>
      </c>
      <c r="AE44" s="56" t="str">
        <f>IF(AND('Mapa Institucional 2024'!$Y$60="Baja",'Mapa Institucional 2024'!$AA$60="Mayor"),CONCATENATE("R9C",'Mapa Institucional 2024'!$O$60),"")</f>
        <v/>
      </c>
      <c r="AF44" s="56" t="str">
        <f>IF(AND('Mapa Institucional 2024'!$Y$61="Baja",'Mapa Institucional 2024'!$AA$61="Mayor"),CONCATENATE("R9C",'Mapa Institucional 2024'!$O$61),"")</f>
        <v/>
      </c>
      <c r="AG44" s="52" t="str">
        <f>IF(AND('Mapa Institucional 2024'!$Y$62="Baja",'Mapa Institucional 2024'!$AA$62="Mayor"),CONCATENATE("R9C",'Mapa Institucional 2024'!$O$62),"")</f>
        <v/>
      </c>
      <c r="AH44" s="53" t="str">
        <f>IF(AND('Mapa Institucional 2024'!$Y$57="Baja",'Mapa Institucional 2024'!$AA$57="Catastrófico"),CONCATENATE("R9C",'Mapa Institucional 2024'!$O$57),"")</f>
        <v/>
      </c>
      <c r="AI44" s="54" t="str">
        <f>IF(AND('Mapa Institucional 2024'!$Y$58="Baja",'Mapa Institucional 2024'!$AA$58="Catastrófico"),CONCATENATE("R9C",'Mapa Institucional 2024'!$O$58),"")</f>
        <v/>
      </c>
      <c r="AJ44" s="54" t="str">
        <f>IF(AND('Mapa Institucional 2024'!$Y$59="Baja",'Mapa Institucional 2024'!$AA$59="Catastrófico"),CONCATENATE("R9C",'Mapa Institucional 2024'!$O$59),"")</f>
        <v/>
      </c>
      <c r="AK44" s="54" t="str">
        <f>IF(AND('Mapa Institucional 2024'!$Y$60="Baja",'Mapa Institucional 2024'!$AA$60="Catastrófico"),CONCATENATE("R9C",'Mapa Institucional 2024'!$O$60),"")</f>
        <v/>
      </c>
      <c r="AL44" s="54" t="str">
        <f>IF(AND('Mapa Institucional 2024'!$Y$61="Baja",'Mapa Institucional 2024'!$AA$61="Catastrófico"),CONCATENATE("R9C",'Mapa Institucional 2024'!$O$61),"")</f>
        <v/>
      </c>
      <c r="AM44" s="55" t="str">
        <f>IF(AND('Mapa Institucional 2024'!$Y$62="Baja",'Mapa Institucional 2024'!$AA$62="Catastrófico"),CONCATENATE("R9C",'Mapa Institucional 2024'!$O$62),"")</f>
        <v/>
      </c>
      <c r="AN44" s="82"/>
      <c r="AO44" s="475"/>
      <c r="AP44" s="476"/>
      <c r="AQ44" s="476"/>
      <c r="AR44" s="476"/>
      <c r="AS44" s="476"/>
      <c r="AT44" s="477"/>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402"/>
      <c r="C45" s="402"/>
      <c r="D45" s="403"/>
      <c r="E45" s="446"/>
      <c r="F45" s="447"/>
      <c r="G45" s="447"/>
      <c r="H45" s="447"/>
      <c r="I45" s="447"/>
      <c r="J45" s="78" t="str">
        <f>IF(AND('Mapa Institucional 2024'!$Y$63="Baja",'Mapa Institucional 2024'!$AA$63="Leve"),CONCATENATE("R10C",'Mapa Institucional 2024'!$O$63),"")</f>
        <v/>
      </c>
      <c r="K45" s="79" t="str">
        <f>IF(AND('Mapa Institucional 2024'!$Y$64="Baja",'Mapa Institucional 2024'!$AA$64="Leve"),CONCATENATE("R10C",'Mapa Institucional 2024'!$O$64),"")</f>
        <v/>
      </c>
      <c r="L45" s="79" t="str">
        <f>IF(AND('Mapa Institucional 2024'!$Y$65="Baja",'Mapa Institucional 2024'!$AA$65="Leve"),CONCATENATE("R10C",'Mapa Institucional 2024'!$O$65),"")</f>
        <v/>
      </c>
      <c r="M45" s="79" t="str">
        <f>IF(AND('Mapa Institucional 2024'!$Y$66="Baja",'Mapa Institucional 2024'!$AA$66="Leve"),CONCATENATE("R10C",'Mapa Institucional 2024'!$O$66),"")</f>
        <v/>
      </c>
      <c r="N45" s="79" t="str">
        <f>IF(AND('Mapa Institucional 2024'!$Y$67="Baja",'Mapa Institucional 2024'!$AA$67="Leve"),CONCATENATE("R10C",'Mapa Institucional 2024'!$O$67),"")</f>
        <v/>
      </c>
      <c r="O45" s="80" t="str">
        <f>IF(AND('Mapa Institucional 2024'!$Y$68="Baja",'Mapa Institucional 2024'!$AA$68="Leve"),CONCATENATE("R10C",'Mapa Institucional 2024'!$O$68),"")</f>
        <v/>
      </c>
      <c r="P45" s="66" t="str">
        <f>IF(AND('Mapa Institucional 2024'!$Y$63="Baja",'Mapa Institucional 2024'!$AA$63="Menor"),CONCATENATE("R10C",'Mapa Institucional 2024'!$O$63),"")</f>
        <v/>
      </c>
      <c r="Q45" s="67" t="str">
        <f>IF(AND('Mapa Institucional 2024'!$Y$64="Baja",'Mapa Institucional 2024'!$AA$64="Menor"),CONCATENATE("R10C",'Mapa Institucional 2024'!$O$64),"")</f>
        <v/>
      </c>
      <c r="R45" s="67" t="str">
        <f>IF(AND('Mapa Institucional 2024'!$Y$65="Baja",'Mapa Institucional 2024'!$AA$65="Menor"),CONCATENATE("R10C",'Mapa Institucional 2024'!$O$65),"")</f>
        <v/>
      </c>
      <c r="S45" s="67" t="str">
        <f>IF(AND('Mapa Institucional 2024'!$Y$66="Baja",'Mapa Institucional 2024'!$AA$66="Menor"),CONCATENATE("R10C",'Mapa Institucional 2024'!$O$66),"")</f>
        <v/>
      </c>
      <c r="T45" s="67" t="str">
        <f>IF(AND('Mapa Institucional 2024'!$Y$67="Baja",'Mapa Institucional 2024'!$AA$67="Menor"),CONCATENATE("R10C",'Mapa Institucional 2024'!$O$67),"")</f>
        <v/>
      </c>
      <c r="U45" s="68" t="str">
        <f>IF(AND('Mapa Institucional 2024'!$Y$68="Baja",'Mapa Institucional 2024'!$AA$68="Menor"),CONCATENATE("R10C",'Mapa Institucional 2024'!$O$68),"")</f>
        <v/>
      </c>
      <c r="V45" s="69" t="str">
        <f>IF(AND('Mapa Institucional 2024'!$Y$63="Baja",'Mapa Institucional 2024'!$AA$63="Moderado"),CONCATENATE("R10C",'Mapa Institucional 2024'!$O$63),"")</f>
        <v/>
      </c>
      <c r="W45" s="70" t="str">
        <f>IF(AND('Mapa Institucional 2024'!$Y$64="Baja",'Mapa Institucional 2024'!$AA$64="Moderado"),CONCATENATE("R10C",'Mapa Institucional 2024'!$O$64),"")</f>
        <v/>
      </c>
      <c r="X45" s="70" t="str">
        <f>IF(AND('Mapa Institucional 2024'!$Y$65="Baja",'Mapa Institucional 2024'!$AA$65="Moderado"),CONCATENATE("R10C",'Mapa Institucional 2024'!$O$65),"")</f>
        <v/>
      </c>
      <c r="Y45" s="70" t="str">
        <f>IF(AND('Mapa Institucional 2024'!$Y$66="Baja",'Mapa Institucional 2024'!$AA$66="Moderado"),CONCATENATE("R10C",'Mapa Institucional 2024'!$O$66),"")</f>
        <v/>
      </c>
      <c r="Z45" s="70" t="str">
        <f>IF(AND('Mapa Institucional 2024'!$Y$67="Baja",'Mapa Institucional 2024'!$AA$67="Moderado"),CONCATENATE("R10C",'Mapa Institucional 2024'!$O$67),"")</f>
        <v/>
      </c>
      <c r="AA45" s="71" t="str">
        <f>IF(AND('Mapa Institucional 2024'!$Y$68="Baja",'Mapa Institucional 2024'!$AA$68="Moderado"),CONCATENATE("R10C",'Mapa Institucional 2024'!$O$68),"")</f>
        <v/>
      </c>
      <c r="AB45" s="57" t="str">
        <f>IF(AND('Mapa Institucional 2024'!$Y$63="Baja",'Mapa Institucional 2024'!$AA$63="Mayor"),CONCATENATE("R10C",'Mapa Institucional 2024'!$O$63),"")</f>
        <v/>
      </c>
      <c r="AC45" s="58" t="str">
        <f>IF(AND('Mapa Institucional 2024'!$Y$64="Baja",'Mapa Institucional 2024'!$AA$64="Mayor"),CONCATENATE("R10C",'Mapa Institucional 2024'!$O$64),"")</f>
        <v/>
      </c>
      <c r="AD45" s="58" t="str">
        <f>IF(AND('Mapa Institucional 2024'!$Y$65="Baja",'Mapa Institucional 2024'!$AA$65="Mayor"),CONCATENATE("R10C",'Mapa Institucional 2024'!$O$65),"")</f>
        <v/>
      </c>
      <c r="AE45" s="58" t="str">
        <f>IF(AND('Mapa Institucional 2024'!$Y$66="Baja",'Mapa Institucional 2024'!$AA$66="Mayor"),CONCATENATE("R10C",'Mapa Institucional 2024'!$O$66),"")</f>
        <v/>
      </c>
      <c r="AF45" s="58" t="str">
        <f>IF(AND('Mapa Institucional 2024'!$Y$67="Baja",'Mapa Institucional 2024'!$AA$67="Mayor"),CONCATENATE("R10C",'Mapa Institucional 2024'!$O$67),"")</f>
        <v/>
      </c>
      <c r="AG45" s="59" t="str">
        <f>IF(AND('Mapa Institucional 2024'!$Y$68="Baja",'Mapa Institucional 2024'!$AA$68="Mayor"),CONCATENATE("R10C",'Mapa Institucional 2024'!$O$68),"")</f>
        <v/>
      </c>
      <c r="AH45" s="60" t="str">
        <f>IF(AND('Mapa Institucional 2024'!$Y$63="Baja",'Mapa Institucional 2024'!$AA$63="Catastrófico"),CONCATENATE("R10C",'Mapa Institucional 2024'!$O$63),"")</f>
        <v/>
      </c>
      <c r="AI45" s="61" t="str">
        <f>IF(AND('Mapa Institucional 2024'!$Y$64="Baja",'Mapa Institucional 2024'!$AA$64="Catastrófico"),CONCATENATE("R10C",'Mapa Institucional 2024'!$O$64),"")</f>
        <v/>
      </c>
      <c r="AJ45" s="61" t="str">
        <f>IF(AND('Mapa Institucional 2024'!$Y$65="Baja",'Mapa Institucional 2024'!$AA$65="Catastrófico"),CONCATENATE("R10C",'Mapa Institucional 2024'!$O$65),"")</f>
        <v/>
      </c>
      <c r="AK45" s="61" t="str">
        <f>IF(AND('Mapa Institucional 2024'!$Y$66="Baja",'Mapa Institucional 2024'!$AA$66="Catastrófico"),CONCATENATE("R10C",'Mapa Institucional 2024'!$O$66),"")</f>
        <v/>
      </c>
      <c r="AL45" s="61" t="str">
        <f>IF(AND('Mapa Institucional 2024'!$Y$67="Baja",'Mapa Institucional 2024'!$AA$67="Catastrófico"),CONCATENATE("R10C",'Mapa Institucional 2024'!$O$67),"")</f>
        <v/>
      </c>
      <c r="AM45" s="62" t="str">
        <f>IF(AND('Mapa Institucional 2024'!$Y$68="Baja",'Mapa Institucional 2024'!$AA$68="Catastrófico"),CONCATENATE("R10C",'Mapa Institucional 2024'!$O$68),"")</f>
        <v/>
      </c>
      <c r="AN45" s="82"/>
      <c r="AO45" s="478"/>
      <c r="AP45" s="479"/>
      <c r="AQ45" s="479"/>
      <c r="AR45" s="479"/>
      <c r="AS45" s="479"/>
      <c r="AT45" s="480"/>
    </row>
    <row r="46" spans="1:80" ht="46.5" customHeight="1" x14ac:dyDescent="0.35">
      <c r="A46" s="82"/>
      <c r="B46" s="402"/>
      <c r="C46" s="402"/>
      <c r="D46" s="403"/>
      <c r="E46" s="440" t="s">
        <v>113</v>
      </c>
      <c r="F46" s="441"/>
      <c r="G46" s="441"/>
      <c r="H46" s="441"/>
      <c r="I46" s="442"/>
      <c r="J46" s="72" t="str">
        <f ca="1">IF(AND('Mapa Institucional 2024'!$Y$9="Muy Baja",'Mapa Institucional 2024'!$AA$9="Leve"),CONCATENATE("R1C",'Mapa Institucional 2024'!$O$9),"")</f>
        <v/>
      </c>
      <c r="K46" s="73" t="str">
        <f>IF(AND('Mapa Institucional 2024'!$Y$10="Muy Baja",'Mapa Institucional 2024'!$AA$10="Leve"),CONCATENATE("R1C",'Mapa Institucional 2024'!$O$10),"")</f>
        <v/>
      </c>
      <c r="L46" s="73" t="str">
        <f>IF(AND('Mapa Institucional 2024'!$Y$11="Muy Baja",'Mapa Institucional 2024'!$AA$11="Leve"),CONCATENATE("R1C",'Mapa Institucional 2024'!$O$11),"")</f>
        <v/>
      </c>
      <c r="M46" s="73" t="str">
        <f>IF(AND('Mapa Institucional 2024'!$Y$12="Muy Baja",'Mapa Institucional 2024'!$AA$12="Leve"),CONCATENATE("R1C",'Mapa Institucional 2024'!$O$12),"")</f>
        <v/>
      </c>
      <c r="N46" s="73" t="str">
        <f>IF(AND('Mapa Institucional 2024'!$Y$13="Muy Baja",'Mapa Institucional 2024'!$AA$13="Leve"),CONCATENATE("R1C",'Mapa Institucional 2024'!$O$13),"")</f>
        <v/>
      </c>
      <c r="O46" s="74" t="str">
        <f>IF(AND('Mapa Institucional 2024'!$Y$14="Muy Baja",'Mapa Institucional 2024'!$AA$14="Leve"),CONCATENATE("R1C",'Mapa Institucional 2024'!$O$14),"")</f>
        <v/>
      </c>
      <c r="P46" s="72" t="str">
        <f ca="1">IF(AND('Mapa Institucional 2024'!$Y$9="Muy Baja",'Mapa Institucional 2024'!$AA$9="Menor"),CONCATENATE("R1C",'Mapa Institucional 2024'!$O$9),"")</f>
        <v/>
      </c>
      <c r="Q46" s="73" t="str">
        <f>IF(AND('Mapa Institucional 2024'!$Y$10="Muy Baja",'Mapa Institucional 2024'!$AA$10="Menor"),CONCATENATE("R1C",'Mapa Institucional 2024'!$O$10),"")</f>
        <v/>
      </c>
      <c r="R46" s="73" t="str">
        <f>IF(AND('Mapa Institucional 2024'!$Y$11="Muy Baja",'Mapa Institucional 2024'!$AA$11="Menor"),CONCATENATE("R1C",'Mapa Institucional 2024'!$O$11),"")</f>
        <v/>
      </c>
      <c r="S46" s="73" t="str">
        <f>IF(AND('Mapa Institucional 2024'!$Y$12="Muy Baja",'Mapa Institucional 2024'!$AA$12="Menor"),CONCATENATE("R1C",'Mapa Institucional 2024'!$O$12),"")</f>
        <v/>
      </c>
      <c r="T46" s="73" t="str">
        <f>IF(AND('Mapa Institucional 2024'!$Y$13="Muy Baja",'Mapa Institucional 2024'!$AA$13="Menor"),CONCATENATE("R1C",'Mapa Institucional 2024'!$O$13),"")</f>
        <v/>
      </c>
      <c r="U46" s="74" t="str">
        <f>IF(AND('Mapa Institucional 2024'!$Y$14="Muy Baja",'Mapa Institucional 2024'!$AA$14="Menor"),CONCATENATE("R1C",'Mapa Institucional 2024'!$O$14),"")</f>
        <v/>
      </c>
      <c r="V46" s="63" t="str">
        <f ca="1">IF(AND('Mapa Institucional 2024'!$Y$9="Muy Baja",'Mapa Institucional 2024'!$AA$9="Moderado"),CONCATENATE("R1C",'Mapa Institucional 2024'!$O$9),"")</f>
        <v/>
      </c>
      <c r="W46" s="81" t="str">
        <f>IF(AND('Mapa Institucional 2024'!$Y$10="Muy Baja",'Mapa Institucional 2024'!$AA$10="Moderado"),CONCATENATE("R1C",'Mapa Institucional 2024'!$O$10),"")</f>
        <v/>
      </c>
      <c r="X46" s="64" t="str">
        <f>IF(AND('Mapa Institucional 2024'!$Y$11="Muy Baja",'Mapa Institucional 2024'!$AA$11="Moderado"),CONCATENATE("R1C",'Mapa Institucional 2024'!$O$11),"")</f>
        <v/>
      </c>
      <c r="Y46" s="64" t="str">
        <f>IF(AND('Mapa Institucional 2024'!$Y$12="Muy Baja",'Mapa Institucional 2024'!$AA$12="Moderado"),CONCATENATE("R1C",'Mapa Institucional 2024'!$O$12),"")</f>
        <v/>
      </c>
      <c r="Z46" s="64" t="str">
        <f>IF(AND('Mapa Institucional 2024'!$Y$13="Muy Baja",'Mapa Institucional 2024'!$AA$13="Moderado"),CONCATENATE("R1C",'Mapa Institucional 2024'!$O$13),"")</f>
        <v/>
      </c>
      <c r="AA46" s="65" t="str">
        <f>IF(AND('Mapa Institucional 2024'!$Y$14="Muy Baja",'Mapa Institucional 2024'!$AA$14="Moderado"),CONCATENATE("R1C",'Mapa Institucional 2024'!$O$14),"")</f>
        <v/>
      </c>
      <c r="AB46" s="44" t="str">
        <f ca="1">IF(AND('Mapa Institucional 2024'!$Y$9="Muy Baja",'Mapa Institucional 2024'!$AA$9="Mayor"),CONCATENATE("R1C",'Mapa Institucional 2024'!$O$9),"")</f>
        <v/>
      </c>
      <c r="AC46" s="45" t="str">
        <f>IF(AND('Mapa Institucional 2024'!$Y$10="Muy Baja",'Mapa Institucional 2024'!$AA$10="Mayor"),CONCATENATE("R1C",'Mapa Institucional 2024'!$O$10),"")</f>
        <v/>
      </c>
      <c r="AD46" s="45" t="str">
        <f>IF(AND('Mapa Institucional 2024'!$Y$11="Muy Baja",'Mapa Institucional 2024'!$AA$11="Mayor"),CONCATENATE("R1C",'Mapa Institucional 2024'!$O$11),"")</f>
        <v/>
      </c>
      <c r="AE46" s="45" t="str">
        <f>IF(AND('Mapa Institucional 2024'!$Y$12="Muy Baja",'Mapa Institucional 2024'!$AA$12="Mayor"),CONCATENATE("R1C",'Mapa Institucional 2024'!$O$12),"")</f>
        <v/>
      </c>
      <c r="AF46" s="45" t="str">
        <f>IF(AND('Mapa Institucional 2024'!$Y$13="Muy Baja",'Mapa Institucional 2024'!$AA$13="Mayor"),CONCATENATE("R1C",'Mapa Institucional 2024'!$O$13),"")</f>
        <v/>
      </c>
      <c r="AG46" s="46" t="str">
        <f>IF(AND('Mapa Institucional 2024'!$Y$14="Muy Baja",'Mapa Institucional 2024'!$AA$14="Mayor"),CONCATENATE("R1C",'Mapa Institucional 2024'!$O$14),"")</f>
        <v/>
      </c>
      <c r="AH46" s="47" t="str">
        <f ca="1">IF(AND('Mapa Institucional 2024'!$Y$9="Muy Baja",'Mapa Institucional 2024'!$AA$9="Catastrófico"),CONCATENATE("R1C",'Mapa Institucional 2024'!$O$9),"")</f>
        <v/>
      </c>
      <c r="AI46" s="48" t="str">
        <f>IF(AND('Mapa Institucional 2024'!$Y$10="Muy Baja",'Mapa Institucional 2024'!$AA$10="Catastrófico"),CONCATENATE("R1C",'Mapa Institucional 2024'!$O$10),"")</f>
        <v/>
      </c>
      <c r="AJ46" s="48" t="str">
        <f>IF(AND('Mapa Institucional 2024'!$Y$11="Muy Baja",'Mapa Institucional 2024'!$AA$11="Catastrófico"),CONCATENATE("R1C",'Mapa Institucional 2024'!$O$11),"")</f>
        <v/>
      </c>
      <c r="AK46" s="48" t="str">
        <f>IF(AND('Mapa Institucional 2024'!$Y$12="Muy Baja",'Mapa Institucional 2024'!$AA$12="Catastrófico"),CONCATENATE("R1C",'Mapa Institucional 2024'!$O$12),"")</f>
        <v/>
      </c>
      <c r="AL46" s="48" t="str">
        <f>IF(AND('Mapa Institucional 2024'!$Y$13="Muy Baja",'Mapa Institucional 2024'!$AA$13="Catastrófico"),CONCATENATE("R1C",'Mapa Institucional 2024'!$O$13),"")</f>
        <v/>
      </c>
      <c r="AM46" s="49" t="str">
        <f>IF(AND('Mapa Institucional 2024'!$Y$14="Muy Baja",'Mapa Institucional 2024'!$AA$14="Catastrófico"),CONCATENATE("R1C",'Mapa Institucional 2024'!$O$14),"")</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402"/>
      <c r="C47" s="402"/>
      <c r="D47" s="403"/>
      <c r="E47" s="459"/>
      <c r="F47" s="460"/>
      <c r="G47" s="460"/>
      <c r="H47" s="460"/>
      <c r="I47" s="445"/>
      <c r="J47" s="75" t="str">
        <f ca="1">IF(AND('Mapa Institucional 2024'!$Y$15="Muy Baja",'Mapa Institucional 2024'!$AA$15="Leve"),CONCATENATE("R2C",'Mapa Institucional 2024'!$O$15),"")</f>
        <v/>
      </c>
      <c r="K47" s="76" t="str">
        <f>IF(AND('Mapa Institucional 2024'!$Y$16="Muy Baja",'Mapa Institucional 2024'!$AA$16="Leve"),CONCATENATE("R2C",'Mapa Institucional 2024'!$O$16),"")</f>
        <v/>
      </c>
      <c r="L47" s="76" t="str">
        <f>IF(AND('Mapa Institucional 2024'!$Y$17="Muy Baja",'Mapa Institucional 2024'!$AA$17="Leve"),CONCATENATE("R2C",'Mapa Institucional 2024'!$O$17),"")</f>
        <v/>
      </c>
      <c r="M47" s="76" t="str">
        <f>IF(AND('Mapa Institucional 2024'!$Y$18="Muy Baja",'Mapa Institucional 2024'!$AA$18="Leve"),CONCATENATE("R2C",'Mapa Institucional 2024'!$O$18),"")</f>
        <v/>
      </c>
      <c r="N47" s="76" t="str">
        <f>IF(AND('Mapa Institucional 2024'!$Y$19="Muy Baja",'Mapa Institucional 2024'!$AA$19="Leve"),CONCATENATE("R2C",'Mapa Institucional 2024'!$O$19),"")</f>
        <v/>
      </c>
      <c r="O47" s="77" t="str">
        <f>IF(AND('Mapa Institucional 2024'!$Y$20="Muy Baja",'Mapa Institucional 2024'!$AA$20="Leve"),CONCATENATE("R2C",'Mapa Institucional 2024'!$O$20),"")</f>
        <v/>
      </c>
      <c r="P47" s="75" t="str">
        <f ca="1">IF(AND('Mapa Institucional 2024'!$Y$15="Muy Baja",'Mapa Institucional 2024'!$AA$15="Menor"),CONCATENATE("R2C",'Mapa Institucional 2024'!$O$15),"")</f>
        <v/>
      </c>
      <c r="Q47" s="76" t="str">
        <f>IF(AND('Mapa Institucional 2024'!$Y$16="Muy Baja",'Mapa Institucional 2024'!$AA$16="Menor"),CONCATENATE("R2C",'Mapa Institucional 2024'!$O$16),"")</f>
        <v/>
      </c>
      <c r="R47" s="76" t="str">
        <f>IF(AND('Mapa Institucional 2024'!$Y$17="Muy Baja",'Mapa Institucional 2024'!$AA$17="Menor"),CONCATENATE("R2C",'Mapa Institucional 2024'!$O$17),"")</f>
        <v/>
      </c>
      <c r="S47" s="76" t="str">
        <f>IF(AND('Mapa Institucional 2024'!$Y$18="Muy Baja",'Mapa Institucional 2024'!$AA$18="Menor"),CONCATENATE("R2C",'Mapa Institucional 2024'!$O$18),"")</f>
        <v/>
      </c>
      <c r="T47" s="76" t="str">
        <f>IF(AND('Mapa Institucional 2024'!$Y$19="Muy Baja",'Mapa Institucional 2024'!$AA$19="Menor"),CONCATENATE("R2C",'Mapa Institucional 2024'!$O$19),"")</f>
        <v/>
      </c>
      <c r="U47" s="77" t="str">
        <f>IF(AND('Mapa Institucional 2024'!$Y$20="Muy Baja",'Mapa Institucional 2024'!$AA$20="Menor"),CONCATENATE("R2C",'Mapa Institucional 2024'!$O$20),"")</f>
        <v/>
      </c>
      <c r="V47" s="66" t="str">
        <f ca="1">IF(AND('Mapa Institucional 2024'!$Y$15="Muy Baja",'Mapa Institucional 2024'!$AA$15="Moderado"),CONCATENATE("R2C",'Mapa Institucional 2024'!$O$15),"")</f>
        <v/>
      </c>
      <c r="W47" s="67" t="str">
        <f>IF(AND('Mapa Institucional 2024'!$Y$16="Muy Baja",'Mapa Institucional 2024'!$AA$16="Moderado"),CONCATENATE("R2C",'Mapa Institucional 2024'!$O$16),"")</f>
        <v/>
      </c>
      <c r="X47" s="67" t="str">
        <f>IF(AND('Mapa Institucional 2024'!$Y$17="Muy Baja",'Mapa Institucional 2024'!$AA$17="Moderado"),CONCATENATE("R2C",'Mapa Institucional 2024'!$O$17),"")</f>
        <v/>
      </c>
      <c r="Y47" s="67" t="str">
        <f>IF(AND('Mapa Institucional 2024'!$Y$18="Muy Baja",'Mapa Institucional 2024'!$AA$18="Moderado"),CONCATENATE("R2C",'Mapa Institucional 2024'!$O$18),"")</f>
        <v/>
      </c>
      <c r="Z47" s="67" t="str">
        <f>IF(AND('Mapa Institucional 2024'!$Y$19="Muy Baja",'Mapa Institucional 2024'!$AA$19="Moderado"),CONCATENATE("R2C",'Mapa Institucional 2024'!$O$19),"")</f>
        <v/>
      </c>
      <c r="AA47" s="68" t="str">
        <f>IF(AND('Mapa Institucional 2024'!$Y$20="Muy Baja",'Mapa Institucional 2024'!$AA$20="Moderado"),CONCATENATE("R2C",'Mapa Institucional 2024'!$O$20),"")</f>
        <v/>
      </c>
      <c r="AB47" s="50" t="str">
        <f ca="1">IF(AND('Mapa Institucional 2024'!$Y$15="Muy Baja",'Mapa Institucional 2024'!$AA$15="Mayor"),CONCATENATE("R2C",'Mapa Institucional 2024'!$O$15),"")</f>
        <v>R2C1</v>
      </c>
      <c r="AC47" s="51" t="str">
        <f>IF(AND('Mapa Institucional 2024'!$Y$16="Muy Baja",'Mapa Institucional 2024'!$AA$16="Mayor"),CONCATENATE("R2C",'Mapa Institucional 2024'!$O$16),"")</f>
        <v/>
      </c>
      <c r="AD47" s="51" t="str">
        <f>IF(AND('Mapa Institucional 2024'!$Y$17="Muy Baja",'Mapa Institucional 2024'!$AA$17="Mayor"),CONCATENATE("R2C",'Mapa Institucional 2024'!$O$17),"")</f>
        <v/>
      </c>
      <c r="AE47" s="51" t="str">
        <f>IF(AND('Mapa Institucional 2024'!$Y$18="Muy Baja",'Mapa Institucional 2024'!$AA$18="Mayor"),CONCATENATE("R2C",'Mapa Institucional 2024'!$O$18),"")</f>
        <v/>
      </c>
      <c r="AF47" s="51" t="str">
        <f>IF(AND('Mapa Institucional 2024'!$Y$19="Muy Baja",'Mapa Institucional 2024'!$AA$19="Mayor"),CONCATENATE("R2C",'Mapa Institucional 2024'!$O$19),"")</f>
        <v/>
      </c>
      <c r="AG47" s="52" t="str">
        <f>IF(AND('Mapa Institucional 2024'!$Y$20="Muy Baja",'Mapa Institucional 2024'!$AA$20="Mayor"),CONCATENATE("R2C",'Mapa Institucional 2024'!$O$20),"")</f>
        <v/>
      </c>
      <c r="AH47" s="53" t="str">
        <f ca="1">IF(AND('Mapa Institucional 2024'!$Y$15="Muy Baja",'Mapa Institucional 2024'!$AA$15="Catastrófico"),CONCATENATE("R2C",'Mapa Institucional 2024'!$O$15),"")</f>
        <v/>
      </c>
      <c r="AI47" s="54" t="str">
        <f>IF(AND('Mapa Institucional 2024'!$Y$16="Muy Baja",'Mapa Institucional 2024'!$AA$16="Catastrófico"),CONCATENATE("R2C",'Mapa Institucional 2024'!$O$16),"")</f>
        <v/>
      </c>
      <c r="AJ47" s="54" t="str">
        <f>IF(AND('Mapa Institucional 2024'!$Y$17="Muy Baja",'Mapa Institucional 2024'!$AA$17="Catastrófico"),CONCATENATE("R2C",'Mapa Institucional 2024'!$O$17),"")</f>
        <v/>
      </c>
      <c r="AK47" s="54" t="str">
        <f>IF(AND('Mapa Institucional 2024'!$Y$18="Muy Baja",'Mapa Institucional 2024'!$AA$18="Catastrófico"),CONCATENATE("R2C",'Mapa Institucional 2024'!$O$18),"")</f>
        <v/>
      </c>
      <c r="AL47" s="54" t="str">
        <f>IF(AND('Mapa Institucional 2024'!$Y$19="Muy Baja",'Mapa Institucional 2024'!$AA$19="Catastrófico"),CONCATENATE("R2C",'Mapa Institucional 2024'!$O$19),"")</f>
        <v/>
      </c>
      <c r="AM47" s="55" t="str">
        <f>IF(AND('Mapa Institucional 2024'!$Y$20="Muy Baja",'Mapa Institucional 2024'!$AA$20="Catastrófico"),CONCATENATE("R2C",'Mapa Institucional 2024'!$O$20),"")</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402"/>
      <c r="C48" s="402"/>
      <c r="D48" s="403"/>
      <c r="E48" s="459"/>
      <c r="F48" s="460"/>
      <c r="G48" s="460"/>
      <c r="H48" s="460"/>
      <c r="I48" s="445"/>
      <c r="J48" s="75" t="str">
        <f>IF(AND('Mapa Institucional 2024'!$Y$21="Muy Baja",'Mapa Institucional 2024'!$AA$21="Leve"),CONCATENATE("R3C",'Mapa Institucional 2024'!$O$21),"")</f>
        <v/>
      </c>
      <c r="K48" s="76" t="str">
        <f>IF(AND('Mapa Institucional 2024'!$Y$22="Muy Baja",'Mapa Institucional 2024'!$AA$22="Leve"),CONCATENATE("R3C",'Mapa Institucional 2024'!$O$22),"")</f>
        <v/>
      </c>
      <c r="L48" s="76" t="str">
        <f>IF(AND('Mapa Institucional 2024'!$Y$23="Muy Baja",'Mapa Institucional 2024'!$AA$23="Leve"),CONCATENATE("R3C",'Mapa Institucional 2024'!$O$23),"")</f>
        <v/>
      </c>
      <c r="M48" s="76" t="str">
        <f>IF(AND('Mapa Institucional 2024'!$Y$24="Muy Baja",'Mapa Institucional 2024'!$AA$24="Leve"),CONCATENATE("R3C",'Mapa Institucional 2024'!$O$24),"")</f>
        <v/>
      </c>
      <c r="N48" s="76" t="str">
        <f>IF(AND('Mapa Institucional 2024'!$Y$25="Muy Baja",'Mapa Institucional 2024'!$AA$25="Leve"),CONCATENATE("R3C",'Mapa Institucional 2024'!$O$25),"")</f>
        <v/>
      </c>
      <c r="O48" s="77" t="str">
        <f>IF(AND('Mapa Institucional 2024'!$Y$26="Muy Baja",'Mapa Institucional 2024'!$AA$26="Leve"),CONCATENATE("R3C",'Mapa Institucional 2024'!$O$26),"")</f>
        <v/>
      </c>
      <c r="P48" s="75" t="str">
        <f>IF(AND('Mapa Institucional 2024'!$Y$21="Muy Baja",'Mapa Institucional 2024'!$AA$21="Menor"),CONCATENATE("R3C",'Mapa Institucional 2024'!$O$21),"")</f>
        <v/>
      </c>
      <c r="Q48" s="76" t="str">
        <f>IF(AND('Mapa Institucional 2024'!$Y$22="Muy Baja",'Mapa Institucional 2024'!$AA$22="Menor"),CONCATENATE("R3C",'Mapa Institucional 2024'!$O$22),"")</f>
        <v/>
      </c>
      <c r="R48" s="76" t="str">
        <f>IF(AND('Mapa Institucional 2024'!$Y$23="Muy Baja",'Mapa Institucional 2024'!$AA$23="Menor"),CONCATENATE("R3C",'Mapa Institucional 2024'!$O$23),"")</f>
        <v/>
      </c>
      <c r="S48" s="76" t="str">
        <f>IF(AND('Mapa Institucional 2024'!$Y$24="Muy Baja",'Mapa Institucional 2024'!$AA$24="Menor"),CONCATENATE("R3C",'Mapa Institucional 2024'!$O$24),"")</f>
        <v/>
      </c>
      <c r="T48" s="76" t="str">
        <f>IF(AND('Mapa Institucional 2024'!$Y$25="Muy Baja",'Mapa Institucional 2024'!$AA$25="Menor"),CONCATENATE("R3C",'Mapa Institucional 2024'!$O$25),"")</f>
        <v/>
      </c>
      <c r="U48" s="77" t="str">
        <f>IF(AND('Mapa Institucional 2024'!$Y$26="Muy Baja",'Mapa Institucional 2024'!$AA$26="Menor"),CONCATENATE("R3C",'Mapa Institucional 2024'!$O$26),"")</f>
        <v/>
      </c>
      <c r="V48" s="66" t="str">
        <f>IF(AND('Mapa Institucional 2024'!$Y$21="Muy Baja",'Mapa Institucional 2024'!$AA$21="Moderado"),CONCATENATE("R3C",'Mapa Institucional 2024'!$O$21),"")</f>
        <v/>
      </c>
      <c r="W48" s="67" t="str">
        <f>IF(AND('Mapa Institucional 2024'!$Y$22="Muy Baja",'Mapa Institucional 2024'!$AA$22="Moderado"),CONCATENATE("R3C",'Mapa Institucional 2024'!$O$22),"")</f>
        <v/>
      </c>
      <c r="X48" s="67" t="str">
        <f>IF(AND('Mapa Institucional 2024'!$Y$23="Muy Baja",'Mapa Institucional 2024'!$AA$23="Moderado"),CONCATENATE("R3C",'Mapa Institucional 2024'!$O$23),"")</f>
        <v/>
      </c>
      <c r="Y48" s="67" t="str">
        <f>IF(AND('Mapa Institucional 2024'!$Y$24="Muy Baja",'Mapa Institucional 2024'!$AA$24="Moderado"),CONCATENATE("R3C",'Mapa Institucional 2024'!$O$24),"")</f>
        <v/>
      </c>
      <c r="Z48" s="67" t="str">
        <f>IF(AND('Mapa Institucional 2024'!$Y$25="Muy Baja",'Mapa Institucional 2024'!$AA$25="Moderado"),CONCATENATE("R3C",'Mapa Institucional 2024'!$O$25),"")</f>
        <v/>
      </c>
      <c r="AA48" s="68" t="str">
        <f>IF(AND('Mapa Institucional 2024'!$Y$26="Muy Baja",'Mapa Institucional 2024'!$AA$26="Moderado"),CONCATENATE("R3C",'Mapa Institucional 2024'!$O$26),"")</f>
        <v/>
      </c>
      <c r="AB48" s="50" t="str">
        <f>IF(AND('Mapa Institucional 2024'!$Y$21="Muy Baja",'Mapa Institucional 2024'!$AA$21="Mayor"),CONCATENATE("R3C",'Mapa Institucional 2024'!$O$21),"")</f>
        <v/>
      </c>
      <c r="AC48" s="51" t="str">
        <f>IF(AND('Mapa Institucional 2024'!$Y$22="Muy Baja",'Mapa Institucional 2024'!$AA$22="Mayor"),CONCATENATE("R3C",'Mapa Institucional 2024'!$O$22),"")</f>
        <v/>
      </c>
      <c r="AD48" s="51" t="str">
        <f>IF(AND('Mapa Institucional 2024'!$Y$23="Muy Baja",'Mapa Institucional 2024'!$AA$23="Mayor"),CONCATENATE("R3C",'Mapa Institucional 2024'!$O$23),"")</f>
        <v/>
      </c>
      <c r="AE48" s="51" t="str">
        <f>IF(AND('Mapa Institucional 2024'!$Y$24="Muy Baja",'Mapa Institucional 2024'!$AA$24="Mayor"),CONCATENATE("R3C",'Mapa Institucional 2024'!$O$24),"")</f>
        <v/>
      </c>
      <c r="AF48" s="51" t="str">
        <f>IF(AND('Mapa Institucional 2024'!$Y$25="Muy Baja",'Mapa Institucional 2024'!$AA$25="Mayor"),CONCATENATE("R3C",'Mapa Institucional 2024'!$O$25),"")</f>
        <v/>
      </c>
      <c r="AG48" s="52" t="str">
        <f>IF(AND('Mapa Institucional 2024'!$Y$26="Muy Baja",'Mapa Institucional 2024'!$AA$26="Mayor"),CONCATENATE("R3C",'Mapa Institucional 2024'!$O$26),"")</f>
        <v/>
      </c>
      <c r="AH48" s="53" t="str">
        <f>IF(AND('Mapa Institucional 2024'!$Y$21="Muy Baja",'Mapa Institucional 2024'!$AA$21="Catastrófico"),CONCATENATE("R3C",'Mapa Institucional 2024'!$O$21),"")</f>
        <v/>
      </c>
      <c r="AI48" s="54" t="str">
        <f>IF(AND('Mapa Institucional 2024'!$Y$22="Muy Baja",'Mapa Institucional 2024'!$AA$22="Catastrófico"),CONCATENATE("R3C",'Mapa Institucional 2024'!$O$22),"")</f>
        <v/>
      </c>
      <c r="AJ48" s="54" t="str">
        <f>IF(AND('Mapa Institucional 2024'!$Y$23="Muy Baja",'Mapa Institucional 2024'!$AA$23="Catastrófico"),CONCATENATE("R3C",'Mapa Institucional 2024'!$O$23),"")</f>
        <v/>
      </c>
      <c r="AK48" s="54" t="str">
        <f>IF(AND('Mapa Institucional 2024'!$Y$24="Muy Baja",'Mapa Institucional 2024'!$AA$24="Catastrófico"),CONCATENATE("R3C",'Mapa Institucional 2024'!$O$24),"")</f>
        <v/>
      </c>
      <c r="AL48" s="54" t="str">
        <f>IF(AND('Mapa Institucional 2024'!$Y$25="Muy Baja",'Mapa Institucional 2024'!$AA$25="Catastrófico"),CONCATENATE("R3C",'Mapa Institucional 2024'!$O$25),"")</f>
        <v/>
      </c>
      <c r="AM48" s="55" t="str">
        <f>IF(AND('Mapa Institucional 2024'!$Y$26="Muy Baja",'Mapa Institucional 2024'!$AA$26="Catastrófico"),CONCATENATE("R3C",'Mapa Institucional 2024'!$O$26),"")</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402"/>
      <c r="C49" s="402"/>
      <c r="D49" s="403"/>
      <c r="E49" s="443"/>
      <c r="F49" s="444"/>
      <c r="G49" s="444"/>
      <c r="H49" s="444"/>
      <c r="I49" s="445"/>
      <c r="J49" s="75" t="str">
        <f>IF(AND('Mapa Institucional 2024'!$Y$27="Muy Baja",'Mapa Institucional 2024'!$AA$27="Leve"),CONCATENATE("R4C",'Mapa Institucional 2024'!$O$27),"")</f>
        <v/>
      </c>
      <c r="K49" s="76" t="str">
        <f>IF(AND('Mapa Institucional 2024'!$Y$28="Muy Baja",'Mapa Institucional 2024'!$AA$28="Leve"),CONCATENATE("R4C",'Mapa Institucional 2024'!$O$28),"")</f>
        <v/>
      </c>
      <c r="L49" s="76" t="str">
        <f>IF(AND('Mapa Institucional 2024'!$Y$29="Muy Baja",'Mapa Institucional 2024'!$AA$29="Leve"),CONCATENATE("R4C",'Mapa Institucional 2024'!$O$29),"")</f>
        <v/>
      </c>
      <c r="M49" s="76" t="str">
        <f>IF(AND('Mapa Institucional 2024'!$Y$30="Muy Baja",'Mapa Institucional 2024'!$AA$30="Leve"),CONCATENATE("R4C",'Mapa Institucional 2024'!$O$30),"")</f>
        <v/>
      </c>
      <c r="N49" s="76" t="str">
        <f>IF(AND('Mapa Institucional 2024'!$Y$31="Muy Baja",'Mapa Institucional 2024'!$AA$31="Leve"),CONCATENATE("R4C",'Mapa Institucional 2024'!$O$31),"")</f>
        <v/>
      </c>
      <c r="O49" s="77" t="str">
        <f>IF(AND('Mapa Institucional 2024'!$Y$32="Muy Baja",'Mapa Institucional 2024'!$AA$32="Leve"),CONCATENATE("R4C",'Mapa Institucional 2024'!$O$32),"")</f>
        <v/>
      </c>
      <c r="P49" s="75" t="str">
        <f>IF(AND('Mapa Institucional 2024'!$Y$27="Muy Baja",'Mapa Institucional 2024'!$AA$27="Menor"),CONCATENATE("R4C",'Mapa Institucional 2024'!$O$27),"")</f>
        <v/>
      </c>
      <c r="Q49" s="76" t="str">
        <f>IF(AND('Mapa Institucional 2024'!$Y$28="Muy Baja",'Mapa Institucional 2024'!$AA$28="Menor"),CONCATENATE("R4C",'Mapa Institucional 2024'!$O$28),"")</f>
        <v/>
      </c>
      <c r="R49" s="76" t="str">
        <f>IF(AND('Mapa Institucional 2024'!$Y$29="Muy Baja",'Mapa Institucional 2024'!$AA$29="Menor"),CONCATENATE("R4C",'Mapa Institucional 2024'!$O$29),"")</f>
        <v/>
      </c>
      <c r="S49" s="76" t="str">
        <f>IF(AND('Mapa Institucional 2024'!$Y$30="Muy Baja",'Mapa Institucional 2024'!$AA$30="Menor"),CONCATENATE("R4C",'Mapa Institucional 2024'!$O$30),"")</f>
        <v/>
      </c>
      <c r="T49" s="76" t="str">
        <f>IF(AND('Mapa Institucional 2024'!$Y$31="Muy Baja",'Mapa Institucional 2024'!$AA$31="Menor"),CONCATENATE("R4C",'Mapa Institucional 2024'!$O$31),"")</f>
        <v/>
      </c>
      <c r="U49" s="77" t="str">
        <f>IF(AND('Mapa Institucional 2024'!$Y$32="Muy Baja",'Mapa Institucional 2024'!$AA$32="Menor"),CONCATENATE("R4C",'Mapa Institucional 2024'!$O$32),"")</f>
        <v/>
      </c>
      <c r="V49" s="66" t="str">
        <f>IF(AND('Mapa Institucional 2024'!$Y$27="Muy Baja",'Mapa Institucional 2024'!$AA$27="Moderado"),CONCATENATE("R4C",'Mapa Institucional 2024'!$O$27),"")</f>
        <v/>
      </c>
      <c r="W49" s="67" t="str">
        <f>IF(AND('Mapa Institucional 2024'!$Y$28="Muy Baja",'Mapa Institucional 2024'!$AA$28="Moderado"),CONCATENATE("R4C",'Mapa Institucional 2024'!$O$28),"")</f>
        <v/>
      </c>
      <c r="X49" s="67" t="str">
        <f>IF(AND('Mapa Institucional 2024'!$Y$29="Muy Baja",'Mapa Institucional 2024'!$AA$29="Moderado"),CONCATENATE("R4C",'Mapa Institucional 2024'!$O$29),"")</f>
        <v/>
      </c>
      <c r="Y49" s="67" t="str">
        <f>IF(AND('Mapa Institucional 2024'!$Y$30="Muy Baja",'Mapa Institucional 2024'!$AA$30="Moderado"),CONCATENATE("R4C",'Mapa Institucional 2024'!$O$30),"")</f>
        <v/>
      </c>
      <c r="Z49" s="67" t="str">
        <f>IF(AND('Mapa Institucional 2024'!$Y$31="Muy Baja",'Mapa Institucional 2024'!$AA$31="Moderado"),CONCATENATE("R4C",'Mapa Institucional 2024'!$O$31),"")</f>
        <v/>
      </c>
      <c r="AA49" s="68" t="str">
        <f>IF(AND('Mapa Institucional 2024'!$Y$32="Muy Baja",'Mapa Institucional 2024'!$AA$32="Moderado"),CONCATENATE("R4C",'Mapa Institucional 2024'!$O$32),"")</f>
        <v/>
      </c>
      <c r="AB49" s="50" t="str">
        <f>IF(AND('Mapa Institucional 2024'!$Y$27="Muy Baja",'Mapa Institucional 2024'!$AA$27="Mayor"),CONCATENATE("R4C",'Mapa Institucional 2024'!$O$27),"")</f>
        <v/>
      </c>
      <c r="AC49" s="51" t="str">
        <f>IF(AND('Mapa Institucional 2024'!$Y$28="Muy Baja",'Mapa Institucional 2024'!$AA$28="Mayor"),CONCATENATE("R4C",'Mapa Institucional 2024'!$O$28),"")</f>
        <v/>
      </c>
      <c r="AD49" s="51" t="str">
        <f>IF(AND('Mapa Institucional 2024'!$Y$29="Muy Baja",'Mapa Institucional 2024'!$AA$29="Mayor"),CONCATENATE("R4C",'Mapa Institucional 2024'!$O$29),"")</f>
        <v/>
      </c>
      <c r="AE49" s="51" t="str">
        <f>IF(AND('Mapa Institucional 2024'!$Y$30="Muy Baja",'Mapa Institucional 2024'!$AA$30="Mayor"),CONCATENATE("R4C",'Mapa Institucional 2024'!$O$30),"")</f>
        <v/>
      </c>
      <c r="AF49" s="51" t="str">
        <f>IF(AND('Mapa Institucional 2024'!$Y$31="Muy Baja",'Mapa Institucional 2024'!$AA$31="Mayor"),CONCATENATE("R4C",'Mapa Institucional 2024'!$O$31),"")</f>
        <v/>
      </c>
      <c r="AG49" s="52" t="str">
        <f>IF(AND('Mapa Institucional 2024'!$Y$32="Muy Baja",'Mapa Institucional 2024'!$AA$32="Mayor"),CONCATENATE("R4C",'Mapa Institucional 2024'!$O$32),"")</f>
        <v/>
      </c>
      <c r="AH49" s="53" t="str">
        <f>IF(AND('Mapa Institucional 2024'!$Y$27="Muy Baja",'Mapa Institucional 2024'!$AA$27="Catastrófico"),CONCATENATE("R4C",'Mapa Institucional 2024'!$O$27),"")</f>
        <v/>
      </c>
      <c r="AI49" s="54" t="str">
        <f>IF(AND('Mapa Institucional 2024'!$Y$28="Muy Baja",'Mapa Institucional 2024'!$AA$28="Catastrófico"),CONCATENATE("R4C",'Mapa Institucional 2024'!$O$28),"")</f>
        <v/>
      </c>
      <c r="AJ49" s="54" t="str">
        <f>IF(AND('Mapa Institucional 2024'!$Y$29="Muy Baja",'Mapa Institucional 2024'!$AA$29="Catastrófico"),CONCATENATE("R4C",'Mapa Institucional 2024'!$O$29),"")</f>
        <v/>
      </c>
      <c r="AK49" s="54" t="str">
        <f>IF(AND('Mapa Institucional 2024'!$Y$30="Muy Baja",'Mapa Institucional 2024'!$AA$30="Catastrófico"),CONCATENATE("R4C",'Mapa Institucional 2024'!$O$30),"")</f>
        <v/>
      </c>
      <c r="AL49" s="54" t="str">
        <f>IF(AND('Mapa Institucional 2024'!$Y$31="Muy Baja",'Mapa Institucional 2024'!$AA$31="Catastrófico"),CONCATENATE("R4C",'Mapa Institucional 2024'!$O$31),"")</f>
        <v/>
      </c>
      <c r="AM49" s="55" t="str">
        <f>IF(AND('Mapa Institucional 2024'!$Y$32="Muy Baja",'Mapa Institucional 2024'!$AA$32="Catastrófico"),CONCATENATE("R4C",'Mapa Institucional 2024'!$O$32),"")</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402"/>
      <c r="C50" s="402"/>
      <c r="D50" s="403"/>
      <c r="E50" s="443"/>
      <c r="F50" s="444"/>
      <c r="G50" s="444"/>
      <c r="H50" s="444"/>
      <c r="I50" s="445"/>
      <c r="J50" s="75" t="str">
        <f>IF(AND('Mapa Institucional 2024'!$Y$33="Muy Baja",'Mapa Institucional 2024'!$AA$33="Leve"),CONCATENATE("R5C",'Mapa Institucional 2024'!$O$33),"")</f>
        <v/>
      </c>
      <c r="K50" s="76" t="str">
        <f>IF(AND('Mapa Institucional 2024'!$Y$34="Muy Baja",'Mapa Institucional 2024'!$AA$34="Leve"),CONCATENATE("R5C",'Mapa Institucional 2024'!$O$34),"")</f>
        <v/>
      </c>
      <c r="L50" s="76" t="str">
        <f>IF(AND('Mapa Institucional 2024'!$Y$35="Muy Baja",'Mapa Institucional 2024'!$AA$35="Leve"),CONCATENATE("R5C",'Mapa Institucional 2024'!$O$35),"")</f>
        <v/>
      </c>
      <c r="M50" s="76" t="str">
        <f>IF(AND('Mapa Institucional 2024'!$Y$36="Muy Baja",'Mapa Institucional 2024'!$AA$36="Leve"),CONCATENATE("R5C",'Mapa Institucional 2024'!$O$36),"")</f>
        <v/>
      </c>
      <c r="N50" s="76" t="str">
        <f>IF(AND('Mapa Institucional 2024'!$Y$37="Muy Baja",'Mapa Institucional 2024'!$AA$37="Leve"),CONCATENATE("R5C",'Mapa Institucional 2024'!$O$37),"")</f>
        <v/>
      </c>
      <c r="O50" s="77" t="str">
        <f>IF(AND('Mapa Institucional 2024'!$Y$38="Muy Baja",'Mapa Institucional 2024'!$AA$38="Leve"),CONCATENATE("R5C",'Mapa Institucional 2024'!$O$38),"")</f>
        <v/>
      </c>
      <c r="P50" s="75" t="str">
        <f>IF(AND('Mapa Institucional 2024'!$Y$33="Muy Baja",'Mapa Institucional 2024'!$AA$33="Menor"),CONCATENATE("R5C",'Mapa Institucional 2024'!$O$33),"")</f>
        <v/>
      </c>
      <c r="Q50" s="76" t="str">
        <f>IF(AND('Mapa Institucional 2024'!$Y$34="Muy Baja",'Mapa Institucional 2024'!$AA$34="Menor"),CONCATENATE("R5C",'Mapa Institucional 2024'!$O$34),"")</f>
        <v/>
      </c>
      <c r="R50" s="76" t="str">
        <f>IF(AND('Mapa Institucional 2024'!$Y$35="Muy Baja",'Mapa Institucional 2024'!$AA$35="Menor"),CONCATENATE("R5C",'Mapa Institucional 2024'!$O$35),"")</f>
        <v/>
      </c>
      <c r="S50" s="76" t="str">
        <f>IF(AND('Mapa Institucional 2024'!$Y$36="Muy Baja",'Mapa Institucional 2024'!$AA$36="Menor"),CONCATENATE("R5C",'Mapa Institucional 2024'!$O$36),"")</f>
        <v/>
      </c>
      <c r="T50" s="76" t="str">
        <f>IF(AND('Mapa Institucional 2024'!$Y$37="Muy Baja",'Mapa Institucional 2024'!$AA$37="Menor"),CONCATENATE("R5C",'Mapa Institucional 2024'!$O$37),"")</f>
        <v/>
      </c>
      <c r="U50" s="77" t="str">
        <f>IF(AND('Mapa Institucional 2024'!$Y$38="Muy Baja",'Mapa Institucional 2024'!$AA$38="Menor"),CONCATENATE("R5C",'Mapa Institucional 2024'!$O$38),"")</f>
        <v/>
      </c>
      <c r="V50" s="66" t="str">
        <f>IF(AND('Mapa Institucional 2024'!$Y$33="Muy Baja",'Mapa Institucional 2024'!$AA$33="Moderado"),CONCATENATE("R5C",'Mapa Institucional 2024'!$O$33),"")</f>
        <v/>
      </c>
      <c r="W50" s="67" t="str">
        <f>IF(AND('Mapa Institucional 2024'!$Y$34="Muy Baja",'Mapa Institucional 2024'!$AA$34="Moderado"),CONCATENATE("R5C",'Mapa Institucional 2024'!$O$34),"")</f>
        <v/>
      </c>
      <c r="X50" s="67" t="str">
        <f>IF(AND('Mapa Institucional 2024'!$Y$35="Muy Baja",'Mapa Institucional 2024'!$AA$35="Moderado"),CONCATENATE("R5C",'Mapa Institucional 2024'!$O$35),"")</f>
        <v/>
      </c>
      <c r="Y50" s="67" t="str">
        <f>IF(AND('Mapa Institucional 2024'!$Y$36="Muy Baja",'Mapa Institucional 2024'!$AA$36="Moderado"),CONCATENATE("R5C",'Mapa Institucional 2024'!$O$36),"")</f>
        <v/>
      </c>
      <c r="Z50" s="67" t="str">
        <f>IF(AND('Mapa Institucional 2024'!$Y$37="Muy Baja",'Mapa Institucional 2024'!$AA$37="Moderado"),CONCATENATE("R5C",'Mapa Institucional 2024'!$O$37),"")</f>
        <v/>
      </c>
      <c r="AA50" s="68" t="str">
        <f>IF(AND('Mapa Institucional 2024'!$Y$38="Muy Baja",'Mapa Institucional 2024'!$AA$38="Moderado"),CONCATENATE("R5C",'Mapa Institucional 2024'!$O$38),"")</f>
        <v/>
      </c>
      <c r="AB50" s="50" t="str">
        <f>IF(AND('Mapa Institucional 2024'!$Y$33="Muy Baja",'Mapa Institucional 2024'!$AA$33="Mayor"),CONCATENATE("R5C",'Mapa Institucional 2024'!$O$33),"")</f>
        <v/>
      </c>
      <c r="AC50" s="51" t="str">
        <f>IF(AND('Mapa Institucional 2024'!$Y$34="Muy Baja",'Mapa Institucional 2024'!$AA$34="Mayor"),CONCATENATE("R5C",'Mapa Institucional 2024'!$O$34),"")</f>
        <v/>
      </c>
      <c r="AD50" s="56" t="str">
        <f>IF(AND('Mapa Institucional 2024'!$Y$35="Muy Baja",'Mapa Institucional 2024'!$AA$35="Mayor"),CONCATENATE("R5C",'Mapa Institucional 2024'!$O$35),"")</f>
        <v/>
      </c>
      <c r="AE50" s="56" t="str">
        <f>IF(AND('Mapa Institucional 2024'!$Y$36="Muy Baja",'Mapa Institucional 2024'!$AA$36="Mayor"),CONCATENATE("R5C",'Mapa Institucional 2024'!$O$36),"")</f>
        <v/>
      </c>
      <c r="AF50" s="56" t="str">
        <f>IF(AND('Mapa Institucional 2024'!$Y$37="Muy Baja",'Mapa Institucional 2024'!$AA$37="Mayor"),CONCATENATE("R5C",'Mapa Institucional 2024'!$O$37),"")</f>
        <v/>
      </c>
      <c r="AG50" s="52" t="str">
        <f>IF(AND('Mapa Institucional 2024'!$Y$38="Muy Baja",'Mapa Institucional 2024'!$AA$38="Mayor"),CONCATENATE("R5C",'Mapa Institucional 2024'!$O$38),"")</f>
        <v/>
      </c>
      <c r="AH50" s="53" t="str">
        <f>IF(AND('Mapa Institucional 2024'!$Y$33="Muy Baja",'Mapa Institucional 2024'!$AA$33="Catastrófico"),CONCATENATE("R5C",'Mapa Institucional 2024'!$O$33),"")</f>
        <v/>
      </c>
      <c r="AI50" s="54" t="str">
        <f>IF(AND('Mapa Institucional 2024'!$Y$34="Muy Baja",'Mapa Institucional 2024'!$AA$34="Catastrófico"),CONCATENATE("R5C",'Mapa Institucional 2024'!$O$34),"")</f>
        <v/>
      </c>
      <c r="AJ50" s="54" t="str">
        <f>IF(AND('Mapa Institucional 2024'!$Y$35="Muy Baja",'Mapa Institucional 2024'!$AA$35="Catastrófico"),CONCATENATE("R5C",'Mapa Institucional 2024'!$O$35),"")</f>
        <v/>
      </c>
      <c r="AK50" s="54" t="str">
        <f>IF(AND('Mapa Institucional 2024'!$Y$36="Muy Baja",'Mapa Institucional 2024'!$AA$36="Catastrófico"),CONCATENATE("R5C",'Mapa Institucional 2024'!$O$36),"")</f>
        <v/>
      </c>
      <c r="AL50" s="54" t="str">
        <f>IF(AND('Mapa Institucional 2024'!$Y$37="Muy Baja",'Mapa Institucional 2024'!$AA$37="Catastrófico"),CONCATENATE("R5C",'Mapa Institucional 2024'!$O$37),"")</f>
        <v/>
      </c>
      <c r="AM50" s="55" t="str">
        <f>IF(AND('Mapa Institucional 2024'!$Y$38="Muy Baja",'Mapa Institucional 2024'!$AA$38="Catastrófico"),CONCATENATE("R5C",'Mapa Institucional 2024'!$O$38),"")</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402"/>
      <c r="C51" s="402"/>
      <c r="D51" s="403"/>
      <c r="E51" s="443"/>
      <c r="F51" s="444"/>
      <c r="G51" s="444"/>
      <c r="H51" s="444"/>
      <c r="I51" s="445"/>
      <c r="J51" s="75" t="str">
        <f>IF(AND('Mapa Institucional 2024'!$Y$39="Muy Baja",'Mapa Institucional 2024'!$AA$39="Leve"),CONCATENATE("R6C",'Mapa Institucional 2024'!$O$39),"")</f>
        <v/>
      </c>
      <c r="K51" s="76" t="str">
        <f>IF(AND('Mapa Institucional 2024'!$Y$40="Muy Baja",'Mapa Institucional 2024'!$AA$40="Leve"),CONCATENATE("R6C",'Mapa Institucional 2024'!$O$40),"")</f>
        <v/>
      </c>
      <c r="L51" s="76" t="str">
        <f>IF(AND('Mapa Institucional 2024'!$Y$41="Muy Baja",'Mapa Institucional 2024'!$AA$41="Leve"),CONCATENATE("R6C",'Mapa Institucional 2024'!$O$41),"")</f>
        <v/>
      </c>
      <c r="M51" s="76" t="str">
        <f>IF(AND('Mapa Institucional 2024'!$Y$42="Muy Baja",'Mapa Institucional 2024'!$AA$42="Leve"),CONCATENATE("R6C",'Mapa Institucional 2024'!$O$42),"")</f>
        <v/>
      </c>
      <c r="N51" s="76" t="str">
        <f>IF(AND('Mapa Institucional 2024'!$Y$43="Muy Baja",'Mapa Institucional 2024'!$AA$43="Leve"),CONCATENATE("R6C",'Mapa Institucional 2024'!$O$43),"")</f>
        <v/>
      </c>
      <c r="O51" s="77" t="str">
        <f>IF(AND('Mapa Institucional 2024'!$Y$44="Muy Baja",'Mapa Institucional 2024'!$AA$44="Leve"),CONCATENATE("R6C",'Mapa Institucional 2024'!$O$44),"")</f>
        <v/>
      </c>
      <c r="P51" s="75" t="str">
        <f>IF(AND('Mapa Institucional 2024'!$Y$39="Muy Baja",'Mapa Institucional 2024'!$AA$39="Menor"),CONCATENATE("R6C",'Mapa Institucional 2024'!$O$39),"")</f>
        <v/>
      </c>
      <c r="Q51" s="76" t="str">
        <f>IF(AND('Mapa Institucional 2024'!$Y$40="Muy Baja",'Mapa Institucional 2024'!$AA$40="Menor"),CONCATENATE("R6C",'Mapa Institucional 2024'!$O$40),"")</f>
        <v/>
      </c>
      <c r="R51" s="76" t="str">
        <f>IF(AND('Mapa Institucional 2024'!$Y$41="Muy Baja",'Mapa Institucional 2024'!$AA$41="Menor"),CONCATENATE("R6C",'Mapa Institucional 2024'!$O$41),"")</f>
        <v/>
      </c>
      <c r="S51" s="76" t="str">
        <f>IF(AND('Mapa Institucional 2024'!$Y$42="Muy Baja",'Mapa Institucional 2024'!$AA$42="Menor"),CONCATENATE("R6C",'Mapa Institucional 2024'!$O$42),"")</f>
        <v/>
      </c>
      <c r="T51" s="76" t="str">
        <f>IF(AND('Mapa Institucional 2024'!$Y$43="Muy Baja",'Mapa Institucional 2024'!$AA$43="Menor"),CONCATENATE("R6C",'Mapa Institucional 2024'!$O$43),"")</f>
        <v/>
      </c>
      <c r="U51" s="77" t="str">
        <f>IF(AND('Mapa Institucional 2024'!$Y$44="Muy Baja",'Mapa Institucional 2024'!$AA$44="Menor"),CONCATENATE("R6C",'Mapa Institucional 2024'!$O$44),"")</f>
        <v/>
      </c>
      <c r="V51" s="66" t="str">
        <f>IF(AND('Mapa Institucional 2024'!$Y$39="Muy Baja",'Mapa Institucional 2024'!$AA$39="Moderado"),CONCATENATE("R6C",'Mapa Institucional 2024'!$O$39),"")</f>
        <v/>
      </c>
      <c r="W51" s="67" t="str">
        <f>IF(AND('Mapa Institucional 2024'!$Y$40="Muy Baja",'Mapa Institucional 2024'!$AA$40="Moderado"),CONCATENATE("R6C",'Mapa Institucional 2024'!$O$40),"")</f>
        <v/>
      </c>
      <c r="X51" s="67" t="str">
        <f>IF(AND('Mapa Institucional 2024'!$Y$41="Muy Baja",'Mapa Institucional 2024'!$AA$41="Moderado"),CONCATENATE("R6C",'Mapa Institucional 2024'!$O$41),"")</f>
        <v/>
      </c>
      <c r="Y51" s="67" t="str">
        <f>IF(AND('Mapa Institucional 2024'!$Y$42="Muy Baja",'Mapa Institucional 2024'!$AA$42="Moderado"),CONCATENATE("R6C",'Mapa Institucional 2024'!$O$42),"")</f>
        <v/>
      </c>
      <c r="Z51" s="67" t="str">
        <f>IF(AND('Mapa Institucional 2024'!$Y$43="Muy Baja",'Mapa Institucional 2024'!$AA$43="Moderado"),CONCATENATE("R6C",'Mapa Institucional 2024'!$O$43),"")</f>
        <v/>
      </c>
      <c r="AA51" s="68" t="str">
        <f>IF(AND('Mapa Institucional 2024'!$Y$44="Muy Baja",'Mapa Institucional 2024'!$AA$44="Moderado"),CONCATENATE("R6C",'Mapa Institucional 2024'!$O$44),"")</f>
        <v/>
      </c>
      <c r="AB51" s="50" t="str">
        <f>IF(AND('Mapa Institucional 2024'!$Y$39="Muy Baja",'Mapa Institucional 2024'!$AA$39="Mayor"),CONCATENATE("R6C",'Mapa Institucional 2024'!$O$39),"")</f>
        <v/>
      </c>
      <c r="AC51" s="51" t="str">
        <f>IF(AND('Mapa Institucional 2024'!$Y$40="Muy Baja",'Mapa Institucional 2024'!$AA$40="Mayor"),CONCATENATE("R6C",'Mapa Institucional 2024'!$O$40),"")</f>
        <v/>
      </c>
      <c r="AD51" s="56" t="str">
        <f>IF(AND('Mapa Institucional 2024'!$Y$41="Muy Baja",'Mapa Institucional 2024'!$AA$41="Mayor"),CONCATENATE("R6C",'Mapa Institucional 2024'!$O$41),"")</f>
        <v/>
      </c>
      <c r="AE51" s="56" t="str">
        <f>IF(AND('Mapa Institucional 2024'!$Y$42="Muy Baja",'Mapa Institucional 2024'!$AA$42="Mayor"),CONCATENATE("R6C",'Mapa Institucional 2024'!$O$42),"")</f>
        <v/>
      </c>
      <c r="AF51" s="56" t="str">
        <f>IF(AND('Mapa Institucional 2024'!$Y$43="Muy Baja",'Mapa Institucional 2024'!$AA$43="Mayor"),CONCATENATE("R6C",'Mapa Institucional 2024'!$O$43),"")</f>
        <v/>
      </c>
      <c r="AG51" s="52" t="str">
        <f>IF(AND('Mapa Institucional 2024'!$Y$44="Muy Baja",'Mapa Institucional 2024'!$AA$44="Mayor"),CONCATENATE("R6C",'Mapa Institucional 2024'!$O$44),"")</f>
        <v/>
      </c>
      <c r="AH51" s="53" t="str">
        <f>IF(AND('Mapa Institucional 2024'!$Y$39="Muy Baja",'Mapa Institucional 2024'!$AA$39="Catastrófico"),CONCATENATE("R6C",'Mapa Institucional 2024'!$O$39),"")</f>
        <v/>
      </c>
      <c r="AI51" s="54" t="str">
        <f>IF(AND('Mapa Institucional 2024'!$Y$40="Muy Baja",'Mapa Institucional 2024'!$AA$40="Catastrófico"),CONCATENATE("R6C",'Mapa Institucional 2024'!$O$40),"")</f>
        <v/>
      </c>
      <c r="AJ51" s="54" t="str">
        <f>IF(AND('Mapa Institucional 2024'!$Y$41="Muy Baja",'Mapa Institucional 2024'!$AA$41="Catastrófico"),CONCATENATE("R6C",'Mapa Institucional 2024'!$O$41),"")</f>
        <v/>
      </c>
      <c r="AK51" s="54" t="str">
        <f>IF(AND('Mapa Institucional 2024'!$Y$42="Muy Baja",'Mapa Institucional 2024'!$AA$42="Catastrófico"),CONCATENATE("R6C",'Mapa Institucional 2024'!$O$42),"")</f>
        <v/>
      </c>
      <c r="AL51" s="54" t="str">
        <f>IF(AND('Mapa Institucional 2024'!$Y$43="Muy Baja",'Mapa Institucional 2024'!$AA$43="Catastrófico"),CONCATENATE("R6C",'Mapa Institucional 2024'!$O$43),"")</f>
        <v/>
      </c>
      <c r="AM51" s="55" t="str">
        <f>IF(AND('Mapa Institucional 2024'!$Y$44="Muy Baja",'Mapa Institucional 2024'!$AA$44="Catastrófico"),CONCATENATE("R6C",'Mapa Institucional 2024'!$O$44),"")</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402"/>
      <c r="C52" s="402"/>
      <c r="D52" s="403"/>
      <c r="E52" s="443"/>
      <c r="F52" s="444"/>
      <c r="G52" s="444"/>
      <c r="H52" s="444"/>
      <c r="I52" s="445"/>
      <c r="J52" s="75" t="str">
        <f>IF(AND('Mapa Institucional 2024'!$Y$45="Muy Baja",'Mapa Institucional 2024'!$AA$45="Leve"),CONCATENATE("R7C",'Mapa Institucional 2024'!$O$45),"")</f>
        <v/>
      </c>
      <c r="K52" s="76" t="str">
        <f>IF(AND('Mapa Institucional 2024'!$Y$46="Muy Baja",'Mapa Institucional 2024'!$AA$46="Leve"),CONCATENATE("R7C",'Mapa Institucional 2024'!$O$46),"")</f>
        <v/>
      </c>
      <c r="L52" s="76" t="str">
        <f>IF(AND('Mapa Institucional 2024'!$Y$47="Muy Baja",'Mapa Institucional 2024'!$AA$47="Leve"),CONCATENATE("R7C",'Mapa Institucional 2024'!$O$47),"")</f>
        <v/>
      </c>
      <c r="M52" s="76" t="str">
        <f>IF(AND('Mapa Institucional 2024'!$Y$48="Muy Baja",'Mapa Institucional 2024'!$AA$48="Leve"),CONCATENATE("R7C",'Mapa Institucional 2024'!$O$48),"")</f>
        <v/>
      </c>
      <c r="N52" s="76" t="str">
        <f>IF(AND('Mapa Institucional 2024'!$Y$49="Muy Baja",'Mapa Institucional 2024'!$AA$49="Leve"),CONCATENATE("R7C",'Mapa Institucional 2024'!$O$49),"")</f>
        <v/>
      </c>
      <c r="O52" s="77" t="str">
        <f>IF(AND('Mapa Institucional 2024'!$Y$50="Muy Baja",'Mapa Institucional 2024'!$AA$50="Leve"),CONCATENATE("R7C",'Mapa Institucional 2024'!$O$50),"")</f>
        <v/>
      </c>
      <c r="P52" s="75" t="str">
        <f>IF(AND('Mapa Institucional 2024'!$Y$45="Muy Baja",'Mapa Institucional 2024'!$AA$45="Menor"),CONCATENATE("R7C",'Mapa Institucional 2024'!$O$45),"")</f>
        <v/>
      </c>
      <c r="Q52" s="76" t="str">
        <f>IF(AND('Mapa Institucional 2024'!$Y$46="Muy Baja",'Mapa Institucional 2024'!$AA$46="Menor"),CONCATENATE("R7C",'Mapa Institucional 2024'!$O$46),"")</f>
        <v/>
      </c>
      <c r="R52" s="76" t="str">
        <f>IF(AND('Mapa Institucional 2024'!$Y$47="Muy Baja",'Mapa Institucional 2024'!$AA$47="Menor"),CONCATENATE("R7C",'Mapa Institucional 2024'!$O$47),"")</f>
        <v/>
      </c>
      <c r="S52" s="76" t="str">
        <f>IF(AND('Mapa Institucional 2024'!$Y$48="Muy Baja",'Mapa Institucional 2024'!$AA$48="Menor"),CONCATENATE("R7C",'Mapa Institucional 2024'!$O$48),"")</f>
        <v/>
      </c>
      <c r="T52" s="76" t="str">
        <f>IF(AND('Mapa Institucional 2024'!$Y$49="Muy Baja",'Mapa Institucional 2024'!$AA$49="Menor"),CONCATENATE("R7C",'Mapa Institucional 2024'!$O$49),"")</f>
        <v/>
      </c>
      <c r="U52" s="77" t="str">
        <f>IF(AND('Mapa Institucional 2024'!$Y$50="Muy Baja",'Mapa Institucional 2024'!$AA$50="Menor"),CONCATENATE("R7C",'Mapa Institucional 2024'!$O$50),"")</f>
        <v/>
      </c>
      <c r="V52" s="66" t="str">
        <f>IF(AND('Mapa Institucional 2024'!$Y$45="Muy Baja",'Mapa Institucional 2024'!$AA$45="Moderado"),CONCATENATE("R7C",'Mapa Institucional 2024'!$O$45),"")</f>
        <v/>
      </c>
      <c r="W52" s="67" t="str">
        <f>IF(AND('Mapa Institucional 2024'!$Y$46="Muy Baja",'Mapa Institucional 2024'!$AA$46="Moderado"),CONCATENATE("R7C",'Mapa Institucional 2024'!$O$46),"")</f>
        <v/>
      </c>
      <c r="X52" s="67" t="str">
        <f>IF(AND('Mapa Institucional 2024'!$Y$47="Muy Baja",'Mapa Institucional 2024'!$AA$47="Moderado"),CONCATENATE("R7C",'Mapa Institucional 2024'!$O$47),"")</f>
        <v/>
      </c>
      <c r="Y52" s="67" t="str">
        <f>IF(AND('Mapa Institucional 2024'!$Y$48="Muy Baja",'Mapa Institucional 2024'!$AA$48="Moderado"),CONCATENATE("R7C",'Mapa Institucional 2024'!$O$48),"")</f>
        <v/>
      </c>
      <c r="Z52" s="67" t="str">
        <f>IF(AND('Mapa Institucional 2024'!$Y$49="Muy Baja",'Mapa Institucional 2024'!$AA$49="Moderado"),CONCATENATE("R7C",'Mapa Institucional 2024'!$O$49),"")</f>
        <v/>
      </c>
      <c r="AA52" s="68" t="str">
        <f>IF(AND('Mapa Institucional 2024'!$Y$50="Muy Baja",'Mapa Institucional 2024'!$AA$50="Moderado"),CONCATENATE("R7C",'Mapa Institucional 2024'!$O$50),"")</f>
        <v/>
      </c>
      <c r="AB52" s="50" t="str">
        <f>IF(AND('Mapa Institucional 2024'!$Y$45="Muy Baja",'Mapa Institucional 2024'!$AA$45="Mayor"),CONCATENATE("R7C",'Mapa Institucional 2024'!$O$45),"")</f>
        <v/>
      </c>
      <c r="AC52" s="51" t="str">
        <f>IF(AND('Mapa Institucional 2024'!$Y$46="Muy Baja",'Mapa Institucional 2024'!$AA$46="Mayor"),CONCATENATE("R7C",'Mapa Institucional 2024'!$O$46),"")</f>
        <v/>
      </c>
      <c r="AD52" s="56" t="str">
        <f>IF(AND('Mapa Institucional 2024'!$Y$47="Muy Baja",'Mapa Institucional 2024'!$AA$47="Mayor"),CONCATENATE("R7C",'Mapa Institucional 2024'!$O$47),"")</f>
        <v/>
      </c>
      <c r="AE52" s="56" t="str">
        <f>IF(AND('Mapa Institucional 2024'!$Y$48="Muy Baja",'Mapa Institucional 2024'!$AA$48="Mayor"),CONCATENATE("R7C",'Mapa Institucional 2024'!$O$48),"")</f>
        <v/>
      </c>
      <c r="AF52" s="56" t="str">
        <f>IF(AND('Mapa Institucional 2024'!$Y$49="Muy Baja",'Mapa Institucional 2024'!$AA$49="Mayor"),CONCATENATE("R7C",'Mapa Institucional 2024'!$O$49),"")</f>
        <v/>
      </c>
      <c r="AG52" s="52" t="str">
        <f>IF(AND('Mapa Institucional 2024'!$Y$50="Muy Baja",'Mapa Institucional 2024'!$AA$50="Mayor"),CONCATENATE("R7C",'Mapa Institucional 2024'!$O$50),"")</f>
        <v/>
      </c>
      <c r="AH52" s="53" t="str">
        <f>IF(AND('Mapa Institucional 2024'!$Y$45="Muy Baja",'Mapa Institucional 2024'!$AA$45="Catastrófico"),CONCATENATE("R7C",'Mapa Institucional 2024'!$O$45),"")</f>
        <v/>
      </c>
      <c r="AI52" s="54" t="str">
        <f>IF(AND('Mapa Institucional 2024'!$Y$46="Muy Baja",'Mapa Institucional 2024'!$AA$46="Catastrófico"),CONCATENATE("R7C",'Mapa Institucional 2024'!$O$46),"")</f>
        <v/>
      </c>
      <c r="AJ52" s="54" t="str">
        <f>IF(AND('Mapa Institucional 2024'!$Y$47="Muy Baja",'Mapa Institucional 2024'!$AA$47="Catastrófico"),CONCATENATE("R7C",'Mapa Institucional 2024'!$O$47),"")</f>
        <v/>
      </c>
      <c r="AK52" s="54" t="str">
        <f>IF(AND('Mapa Institucional 2024'!$Y$48="Muy Baja",'Mapa Institucional 2024'!$AA$48="Catastrófico"),CONCATENATE("R7C",'Mapa Institucional 2024'!$O$48),"")</f>
        <v/>
      </c>
      <c r="AL52" s="54" t="str">
        <f>IF(AND('Mapa Institucional 2024'!$Y$49="Muy Baja",'Mapa Institucional 2024'!$AA$49="Catastrófico"),CONCATENATE("R7C",'Mapa Institucional 2024'!$O$49),"")</f>
        <v/>
      </c>
      <c r="AM52" s="55" t="str">
        <f>IF(AND('Mapa Institucional 2024'!$Y$50="Muy Baja",'Mapa Institucional 2024'!$AA$50="Catastrófico"),CONCATENATE("R7C",'Mapa Institucional 2024'!$O$50),"")</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402"/>
      <c r="C53" s="402"/>
      <c r="D53" s="403"/>
      <c r="E53" s="443"/>
      <c r="F53" s="444"/>
      <c r="G53" s="444"/>
      <c r="H53" s="444"/>
      <c r="I53" s="445"/>
      <c r="J53" s="75" t="str">
        <f>IF(AND('Mapa Institucional 2024'!$Y$51="Muy Baja",'Mapa Institucional 2024'!$AA$51="Leve"),CONCATENATE("R8C",'Mapa Institucional 2024'!$O$51),"")</f>
        <v/>
      </c>
      <c r="K53" s="76" t="str">
        <f>IF(AND('Mapa Institucional 2024'!$Y$52="Muy Baja",'Mapa Institucional 2024'!$AA$52="Leve"),CONCATENATE("R8C",'Mapa Institucional 2024'!$O$52),"")</f>
        <v/>
      </c>
      <c r="L53" s="76" t="str">
        <f>IF(AND('Mapa Institucional 2024'!$Y$53="Muy Baja",'Mapa Institucional 2024'!$AA$53="Leve"),CONCATENATE("R8C",'Mapa Institucional 2024'!$O$53),"")</f>
        <v/>
      </c>
      <c r="M53" s="76" t="str">
        <f>IF(AND('Mapa Institucional 2024'!$Y$54="Muy Baja",'Mapa Institucional 2024'!$AA$54="Leve"),CONCATENATE("R8C",'Mapa Institucional 2024'!$O$54),"")</f>
        <v/>
      </c>
      <c r="N53" s="76" t="str">
        <f>IF(AND('Mapa Institucional 2024'!$Y$55="Muy Baja",'Mapa Institucional 2024'!$AA$55="Leve"),CONCATENATE("R8C",'Mapa Institucional 2024'!$O$55),"")</f>
        <v/>
      </c>
      <c r="O53" s="77" t="str">
        <f>IF(AND('Mapa Institucional 2024'!$Y$56="Muy Baja",'Mapa Institucional 2024'!$AA$56="Leve"),CONCATENATE("R8C",'Mapa Institucional 2024'!$O$56),"")</f>
        <v/>
      </c>
      <c r="P53" s="75" t="str">
        <f>IF(AND('Mapa Institucional 2024'!$Y$51="Muy Baja",'Mapa Institucional 2024'!$AA$51="Menor"),CONCATENATE("R8C",'Mapa Institucional 2024'!$O$51),"")</f>
        <v/>
      </c>
      <c r="Q53" s="76" t="str">
        <f>IF(AND('Mapa Institucional 2024'!$Y$52="Muy Baja",'Mapa Institucional 2024'!$AA$52="Menor"),CONCATENATE("R8C",'Mapa Institucional 2024'!$O$52),"")</f>
        <v/>
      </c>
      <c r="R53" s="76" t="str">
        <f>IF(AND('Mapa Institucional 2024'!$Y$53="Muy Baja",'Mapa Institucional 2024'!$AA$53="Menor"),CONCATENATE("R8C",'Mapa Institucional 2024'!$O$53),"")</f>
        <v/>
      </c>
      <c r="S53" s="76" t="str">
        <f>IF(AND('Mapa Institucional 2024'!$Y$54="Muy Baja",'Mapa Institucional 2024'!$AA$54="Menor"),CONCATENATE("R8C",'Mapa Institucional 2024'!$O$54),"")</f>
        <v/>
      </c>
      <c r="T53" s="76" t="str">
        <f>IF(AND('Mapa Institucional 2024'!$Y$55="Muy Baja",'Mapa Institucional 2024'!$AA$55="Menor"),CONCATENATE("R8C",'Mapa Institucional 2024'!$O$55),"")</f>
        <v/>
      </c>
      <c r="U53" s="77" t="str">
        <f>IF(AND('Mapa Institucional 2024'!$Y$56="Muy Baja",'Mapa Institucional 2024'!$AA$56="Menor"),CONCATENATE("R8C",'Mapa Institucional 2024'!$O$56),"")</f>
        <v/>
      </c>
      <c r="V53" s="66" t="str">
        <f>IF(AND('Mapa Institucional 2024'!$Y$51="Muy Baja",'Mapa Institucional 2024'!$AA$51="Moderado"),CONCATENATE("R8C",'Mapa Institucional 2024'!$O$51),"")</f>
        <v/>
      </c>
      <c r="W53" s="67" t="str">
        <f>IF(AND('Mapa Institucional 2024'!$Y$52="Muy Baja",'Mapa Institucional 2024'!$AA$52="Moderado"),CONCATENATE("R8C",'Mapa Institucional 2024'!$O$52),"")</f>
        <v/>
      </c>
      <c r="X53" s="67" t="str">
        <f>IF(AND('Mapa Institucional 2024'!$Y$53="Muy Baja",'Mapa Institucional 2024'!$AA$53="Moderado"),CONCATENATE("R8C",'Mapa Institucional 2024'!$O$53),"")</f>
        <v/>
      </c>
      <c r="Y53" s="67" t="str">
        <f>IF(AND('Mapa Institucional 2024'!$Y$54="Muy Baja",'Mapa Institucional 2024'!$AA$54="Moderado"),CONCATENATE("R8C",'Mapa Institucional 2024'!$O$54),"")</f>
        <v/>
      </c>
      <c r="Z53" s="67" t="str">
        <f>IF(AND('Mapa Institucional 2024'!$Y$55="Muy Baja",'Mapa Institucional 2024'!$AA$55="Moderado"),CONCATENATE("R8C",'Mapa Institucional 2024'!$O$55),"")</f>
        <v/>
      </c>
      <c r="AA53" s="68" t="str">
        <f>IF(AND('Mapa Institucional 2024'!$Y$56="Muy Baja",'Mapa Institucional 2024'!$AA$56="Moderado"),CONCATENATE("R8C",'Mapa Institucional 2024'!$O$56),"")</f>
        <v/>
      </c>
      <c r="AB53" s="50" t="str">
        <f>IF(AND('Mapa Institucional 2024'!$Y$51="Muy Baja",'Mapa Institucional 2024'!$AA$51="Mayor"),CONCATENATE("R8C",'Mapa Institucional 2024'!$O$51),"")</f>
        <v/>
      </c>
      <c r="AC53" s="51" t="str">
        <f>IF(AND('Mapa Institucional 2024'!$Y$52="Muy Baja",'Mapa Institucional 2024'!$AA$52="Mayor"),CONCATENATE("R8C",'Mapa Institucional 2024'!$O$52),"")</f>
        <v/>
      </c>
      <c r="AD53" s="56" t="str">
        <f>IF(AND('Mapa Institucional 2024'!$Y$53="Muy Baja",'Mapa Institucional 2024'!$AA$53="Mayor"),CONCATENATE("R8C",'Mapa Institucional 2024'!$O$53),"")</f>
        <v/>
      </c>
      <c r="AE53" s="56" t="str">
        <f>IF(AND('Mapa Institucional 2024'!$Y$54="Muy Baja",'Mapa Institucional 2024'!$AA$54="Mayor"),CONCATENATE("R8C",'Mapa Institucional 2024'!$O$54),"")</f>
        <v/>
      </c>
      <c r="AF53" s="56" t="str">
        <f>IF(AND('Mapa Institucional 2024'!$Y$55="Muy Baja",'Mapa Institucional 2024'!$AA$55="Mayor"),CONCATENATE("R8C",'Mapa Institucional 2024'!$O$55),"")</f>
        <v/>
      </c>
      <c r="AG53" s="52" t="str">
        <f>IF(AND('Mapa Institucional 2024'!$Y$56="Muy Baja",'Mapa Institucional 2024'!$AA$56="Mayor"),CONCATENATE("R8C",'Mapa Institucional 2024'!$O$56),"")</f>
        <v/>
      </c>
      <c r="AH53" s="53" t="str">
        <f>IF(AND('Mapa Institucional 2024'!$Y$51="Muy Baja",'Mapa Institucional 2024'!$AA$51="Catastrófico"),CONCATENATE("R8C",'Mapa Institucional 2024'!$O$51),"")</f>
        <v/>
      </c>
      <c r="AI53" s="54" t="str">
        <f>IF(AND('Mapa Institucional 2024'!$Y$52="Muy Baja",'Mapa Institucional 2024'!$AA$52="Catastrófico"),CONCATENATE("R8C",'Mapa Institucional 2024'!$O$52),"")</f>
        <v/>
      </c>
      <c r="AJ53" s="54" t="str">
        <f>IF(AND('Mapa Institucional 2024'!$Y$53="Muy Baja",'Mapa Institucional 2024'!$AA$53="Catastrófico"),CONCATENATE("R8C",'Mapa Institucional 2024'!$O$53),"")</f>
        <v/>
      </c>
      <c r="AK53" s="54" t="str">
        <f>IF(AND('Mapa Institucional 2024'!$Y$54="Muy Baja",'Mapa Institucional 2024'!$AA$54="Catastrófico"),CONCATENATE("R8C",'Mapa Institucional 2024'!$O$54),"")</f>
        <v/>
      </c>
      <c r="AL53" s="54" t="str">
        <f>IF(AND('Mapa Institucional 2024'!$Y$55="Muy Baja",'Mapa Institucional 2024'!$AA$55="Catastrófico"),CONCATENATE("R8C",'Mapa Institucional 2024'!$O$55),"")</f>
        <v/>
      </c>
      <c r="AM53" s="55" t="str">
        <f>IF(AND('Mapa Institucional 2024'!$Y$56="Muy Baja",'Mapa Institucional 2024'!$AA$56="Catastrófico"),CONCATENATE("R8C",'Mapa Institucional 2024'!$O$56),"")</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402"/>
      <c r="C54" s="402"/>
      <c r="D54" s="403"/>
      <c r="E54" s="443"/>
      <c r="F54" s="444"/>
      <c r="G54" s="444"/>
      <c r="H54" s="444"/>
      <c r="I54" s="445"/>
      <c r="J54" s="75" t="str">
        <f>IF(AND('Mapa Institucional 2024'!$Y$57="Muy Baja",'Mapa Institucional 2024'!$AA$57="Leve"),CONCATENATE("R9C",'Mapa Institucional 2024'!$O$57),"")</f>
        <v/>
      </c>
      <c r="K54" s="76" t="str">
        <f>IF(AND('Mapa Institucional 2024'!$Y$58="Muy Baja",'Mapa Institucional 2024'!$AA$58="Leve"),CONCATENATE("R9C",'Mapa Institucional 2024'!$O$58),"")</f>
        <v/>
      </c>
      <c r="L54" s="76" t="str">
        <f>IF(AND('Mapa Institucional 2024'!$Y$59="Muy Baja",'Mapa Institucional 2024'!$AA$59="Leve"),CONCATENATE("R9C",'Mapa Institucional 2024'!$O$59),"")</f>
        <v/>
      </c>
      <c r="M54" s="76" t="str">
        <f>IF(AND('Mapa Institucional 2024'!$Y$60="Muy Baja",'Mapa Institucional 2024'!$AA$60="Leve"),CONCATENATE("R9C",'Mapa Institucional 2024'!$O$60),"")</f>
        <v/>
      </c>
      <c r="N54" s="76" t="str">
        <f>IF(AND('Mapa Institucional 2024'!$Y$61="Muy Baja",'Mapa Institucional 2024'!$AA$61="Leve"),CONCATENATE("R9C",'Mapa Institucional 2024'!$O$61),"")</f>
        <v/>
      </c>
      <c r="O54" s="77" t="str">
        <f>IF(AND('Mapa Institucional 2024'!$Y$62="Muy Baja",'Mapa Institucional 2024'!$AA$62="Leve"),CONCATENATE("R9C",'Mapa Institucional 2024'!$O$62),"")</f>
        <v/>
      </c>
      <c r="P54" s="75" t="str">
        <f>IF(AND('Mapa Institucional 2024'!$Y$57="Muy Baja",'Mapa Institucional 2024'!$AA$57="Menor"),CONCATENATE("R9C",'Mapa Institucional 2024'!$O$57),"")</f>
        <v/>
      </c>
      <c r="Q54" s="76" t="str">
        <f>IF(AND('Mapa Institucional 2024'!$Y$58="Muy Baja",'Mapa Institucional 2024'!$AA$58="Menor"),CONCATENATE("R9C",'Mapa Institucional 2024'!$O$58),"")</f>
        <v/>
      </c>
      <c r="R54" s="76" t="str">
        <f>IF(AND('Mapa Institucional 2024'!$Y$59="Muy Baja",'Mapa Institucional 2024'!$AA$59="Menor"),CONCATENATE("R9C",'Mapa Institucional 2024'!$O$59),"")</f>
        <v/>
      </c>
      <c r="S54" s="76" t="str">
        <f>IF(AND('Mapa Institucional 2024'!$Y$60="Muy Baja",'Mapa Institucional 2024'!$AA$60="Menor"),CONCATENATE("R9C",'Mapa Institucional 2024'!$O$60),"")</f>
        <v/>
      </c>
      <c r="T54" s="76" t="str">
        <f>IF(AND('Mapa Institucional 2024'!$Y$61="Muy Baja",'Mapa Institucional 2024'!$AA$61="Menor"),CONCATENATE("R9C",'Mapa Institucional 2024'!$O$61),"")</f>
        <v/>
      </c>
      <c r="U54" s="77" t="str">
        <f>IF(AND('Mapa Institucional 2024'!$Y$62="Muy Baja",'Mapa Institucional 2024'!$AA$62="Menor"),CONCATENATE("R9C",'Mapa Institucional 2024'!$O$62),"")</f>
        <v/>
      </c>
      <c r="V54" s="66" t="str">
        <f>IF(AND('Mapa Institucional 2024'!$Y$57="Muy Baja",'Mapa Institucional 2024'!$AA$57="Moderado"),CONCATENATE("R9C",'Mapa Institucional 2024'!$O$57),"")</f>
        <v/>
      </c>
      <c r="W54" s="67" t="str">
        <f>IF(AND('Mapa Institucional 2024'!$Y$58="Muy Baja",'Mapa Institucional 2024'!$AA$58="Moderado"),CONCATENATE("R9C",'Mapa Institucional 2024'!$O$58),"")</f>
        <v/>
      </c>
      <c r="X54" s="67" t="str">
        <f>IF(AND('Mapa Institucional 2024'!$Y$59="Muy Baja",'Mapa Institucional 2024'!$AA$59="Moderado"),CONCATENATE("R9C",'Mapa Institucional 2024'!$O$59),"")</f>
        <v/>
      </c>
      <c r="Y54" s="67" t="str">
        <f>IF(AND('Mapa Institucional 2024'!$Y$60="Muy Baja",'Mapa Institucional 2024'!$AA$60="Moderado"),CONCATENATE("R9C",'Mapa Institucional 2024'!$O$60),"")</f>
        <v/>
      </c>
      <c r="Z54" s="67" t="str">
        <f>IF(AND('Mapa Institucional 2024'!$Y$61="Muy Baja",'Mapa Institucional 2024'!$AA$61="Moderado"),CONCATENATE("R9C",'Mapa Institucional 2024'!$O$61),"")</f>
        <v/>
      </c>
      <c r="AA54" s="68" t="str">
        <f>IF(AND('Mapa Institucional 2024'!$Y$62="Muy Baja",'Mapa Institucional 2024'!$AA$62="Moderado"),CONCATENATE("R9C",'Mapa Institucional 2024'!$O$62),"")</f>
        <v/>
      </c>
      <c r="AB54" s="50" t="str">
        <f>IF(AND('Mapa Institucional 2024'!$Y$57="Muy Baja",'Mapa Institucional 2024'!$AA$57="Mayor"),CONCATENATE("R9C",'Mapa Institucional 2024'!$O$57),"")</f>
        <v/>
      </c>
      <c r="AC54" s="51" t="str">
        <f>IF(AND('Mapa Institucional 2024'!$Y$58="Muy Baja",'Mapa Institucional 2024'!$AA$58="Mayor"),CONCATENATE("R9C",'Mapa Institucional 2024'!$O$58),"")</f>
        <v/>
      </c>
      <c r="AD54" s="56" t="str">
        <f>IF(AND('Mapa Institucional 2024'!$Y$59="Muy Baja",'Mapa Institucional 2024'!$AA$59="Mayor"),CONCATENATE("R9C",'Mapa Institucional 2024'!$O$59),"")</f>
        <v/>
      </c>
      <c r="AE54" s="56" t="str">
        <f>IF(AND('Mapa Institucional 2024'!$Y$60="Muy Baja",'Mapa Institucional 2024'!$AA$60="Mayor"),CONCATENATE("R9C",'Mapa Institucional 2024'!$O$60),"")</f>
        <v/>
      </c>
      <c r="AF54" s="56" t="str">
        <f>IF(AND('Mapa Institucional 2024'!$Y$61="Muy Baja",'Mapa Institucional 2024'!$AA$61="Mayor"),CONCATENATE("R9C",'Mapa Institucional 2024'!$O$61),"")</f>
        <v/>
      </c>
      <c r="AG54" s="52" t="str">
        <f>IF(AND('Mapa Institucional 2024'!$Y$62="Muy Baja",'Mapa Institucional 2024'!$AA$62="Mayor"),CONCATENATE("R9C",'Mapa Institucional 2024'!$O$62),"")</f>
        <v/>
      </c>
      <c r="AH54" s="53" t="str">
        <f>IF(AND('Mapa Institucional 2024'!$Y$57="Muy Baja",'Mapa Institucional 2024'!$AA$57="Catastrófico"),CONCATENATE("R9C",'Mapa Institucional 2024'!$O$57),"")</f>
        <v/>
      </c>
      <c r="AI54" s="54" t="str">
        <f>IF(AND('Mapa Institucional 2024'!$Y$58="Muy Baja",'Mapa Institucional 2024'!$AA$58="Catastrófico"),CONCATENATE("R9C",'Mapa Institucional 2024'!$O$58),"")</f>
        <v/>
      </c>
      <c r="AJ54" s="54" t="str">
        <f>IF(AND('Mapa Institucional 2024'!$Y$59="Muy Baja",'Mapa Institucional 2024'!$AA$59="Catastrófico"),CONCATENATE("R9C",'Mapa Institucional 2024'!$O$59),"")</f>
        <v/>
      </c>
      <c r="AK54" s="54" t="str">
        <f>IF(AND('Mapa Institucional 2024'!$Y$60="Muy Baja",'Mapa Institucional 2024'!$AA$60="Catastrófico"),CONCATENATE("R9C",'Mapa Institucional 2024'!$O$60),"")</f>
        <v/>
      </c>
      <c r="AL54" s="54" t="str">
        <f>IF(AND('Mapa Institucional 2024'!$Y$61="Muy Baja",'Mapa Institucional 2024'!$AA$61="Catastrófico"),CONCATENATE("R9C",'Mapa Institucional 2024'!$O$61),"")</f>
        <v/>
      </c>
      <c r="AM54" s="55" t="str">
        <f>IF(AND('Mapa Institucional 2024'!$Y$62="Muy Baja",'Mapa Institucional 2024'!$AA$62="Catastrófico"),CONCATENATE("R9C",'Mapa Institucional 2024'!$O$62),"")</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402"/>
      <c r="C55" s="402"/>
      <c r="D55" s="403"/>
      <c r="E55" s="446"/>
      <c r="F55" s="447"/>
      <c r="G55" s="447"/>
      <c r="H55" s="447"/>
      <c r="I55" s="448"/>
      <c r="J55" s="78" t="str">
        <f>IF(AND('Mapa Institucional 2024'!$Y$63="Muy Baja",'Mapa Institucional 2024'!$AA$63="Leve"),CONCATENATE("R10C",'Mapa Institucional 2024'!$O$63),"")</f>
        <v/>
      </c>
      <c r="K55" s="79" t="str">
        <f>IF(AND('Mapa Institucional 2024'!$Y$64="Muy Baja",'Mapa Institucional 2024'!$AA$64="Leve"),CONCATENATE("R10C",'Mapa Institucional 2024'!$O$64),"")</f>
        <v/>
      </c>
      <c r="L55" s="79" t="str">
        <f>IF(AND('Mapa Institucional 2024'!$Y$65="Muy Baja",'Mapa Institucional 2024'!$AA$65="Leve"),CONCATENATE("R10C",'Mapa Institucional 2024'!$O$65),"")</f>
        <v/>
      </c>
      <c r="M55" s="79" t="str">
        <f>IF(AND('Mapa Institucional 2024'!$Y$66="Muy Baja",'Mapa Institucional 2024'!$AA$66="Leve"),CONCATENATE("R10C",'Mapa Institucional 2024'!$O$66),"")</f>
        <v/>
      </c>
      <c r="N55" s="79" t="str">
        <f>IF(AND('Mapa Institucional 2024'!$Y$67="Muy Baja",'Mapa Institucional 2024'!$AA$67="Leve"),CONCATENATE("R10C",'Mapa Institucional 2024'!$O$67),"")</f>
        <v/>
      </c>
      <c r="O55" s="80" t="str">
        <f>IF(AND('Mapa Institucional 2024'!$Y$68="Muy Baja",'Mapa Institucional 2024'!$AA$68="Leve"),CONCATENATE("R10C",'Mapa Institucional 2024'!$O$68),"")</f>
        <v/>
      </c>
      <c r="P55" s="78" t="str">
        <f>IF(AND('Mapa Institucional 2024'!$Y$63="Muy Baja",'Mapa Institucional 2024'!$AA$63="Menor"),CONCATENATE("R10C",'Mapa Institucional 2024'!$O$63),"")</f>
        <v/>
      </c>
      <c r="Q55" s="79" t="str">
        <f>IF(AND('Mapa Institucional 2024'!$Y$64="Muy Baja",'Mapa Institucional 2024'!$AA$64="Menor"),CONCATENATE("R10C",'Mapa Institucional 2024'!$O$64),"")</f>
        <v/>
      </c>
      <c r="R55" s="79" t="str">
        <f>IF(AND('Mapa Institucional 2024'!$Y$65="Muy Baja",'Mapa Institucional 2024'!$AA$65="Menor"),CONCATENATE("R10C",'Mapa Institucional 2024'!$O$65),"")</f>
        <v/>
      </c>
      <c r="S55" s="79" t="str">
        <f>IF(AND('Mapa Institucional 2024'!$Y$66="Muy Baja",'Mapa Institucional 2024'!$AA$66="Menor"),CONCATENATE("R10C",'Mapa Institucional 2024'!$O$66),"")</f>
        <v/>
      </c>
      <c r="T55" s="79" t="str">
        <f>IF(AND('Mapa Institucional 2024'!$Y$67="Muy Baja",'Mapa Institucional 2024'!$AA$67="Menor"),CONCATENATE("R10C",'Mapa Institucional 2024'!$O$67),"")</f>
        <v/>
      </c>
      <c r="U55" s="80" t="str">
        <f>IF(AND('Mapa Institucional 2024'!$Y$68="Muy Baja",'Mapa Institucional 2024'!$AA$68="Menor"),CONCATENATE("R10C",'Mapa Institucional 2024'!$O$68),"")</f>
        <v/>
      </c>
      <c r="V55" s="69" t="str">
        <f>IF(AND('Mapa Institucional 2024'!$Y$63="Muy Baja",'Mapa Institucional 2024'!$AA$63="Moderado"),CONCATENATE("R10C",'Mapa Institucional 2024'!$O$63),"")</f>
        <v/>
      </c>
      <c r="W55" s="70" t="str">
        <f>IF(AND('Mapa Institucional 2024'!$Y$64="Muy Baja",'Mapa Institucional 2024'!$AA$64="Moderado"),CONCATENATE("R10C",'Mapa Institucional 2024'!$O$64),"")</f>
        <v/>
      </c>
      <c r="X55" s="70" t="str">
        <f>IF(AND('Mapa Institucional 2024'!$Y$65="Muy Baja",'Mapa Institucional 2024'!$AA$65="Moderado"),CONCATENATE("R10C",'Mapa Institucional 2024'!$O$65),"")</f>
        <v/>
      </c>
      <c r="Y55" s="70" t="str">
        <f>IF(AND('Mapa Institucional 2024'!$Y$66="Muy Baja",'Mapa Institucional 2024'!$AA$66="Moderado"),CONCATENATE("R10C",'Mapa Institucional 2024'!$O$66),"")</f>
        <v/>
      </c>
      <c r="Z55" s="70" t="str">
        <f>IF(AND('Mapa Institucional 2024'!$Y$67="Muy Baja",'Mapa Institucional 2024'!$AA$67="Moderado"),CONCATENATE("R10C",'Mapa Institucional 2024'!$O$67),"")</f>
        <v/>
      </c>
      <c r="AA55" s="71" t="str">
        <f>IF(AND('Mapa Institucional 2024'!$Y$68="Muy Baja",'Mapa Institucional 2024'!$AA$68="Moderado"),CONCATENATE("R10C",'Mapa Institucional 2024'!$O$68),"")</f>
        <v/>
      </c>
      <c r="AB55" s="57" t="str">
        <f>IF(AND('Mapa Institucional 2024'!$Y$63="Muy Baja",'Mapa Institucional 2024'!$AA$63="Mayor"),CONCATENATE("R10C",'Mapa Institucional 2024'!$O$63),"")</f>
        <v/>
      </c>
      <c r="AC55" s="58" t="str">
        <f>IF(AND('Mapa Institucional 2024'!$Y$64="Muy Baja",'Mapa Institucional 2024'!$AA$64="Mayor"),CONCATENATE("R10C",'Mapa Institucional 2024'!$O$64),"")</f>
        <v/>
      </c>
      <c r="AD55" s="58" t="str">
        <f>IF(AND('Mapa Institucional 2024'!$Y$65="Muy Baja",'Mapa Institucional 2024'!$AA$65="Mayor"),CONCATENATE("R10C",'Mapa Institucional 2024'!$O$65),"")</f>
        <v/>
      </c>
      <c r="AE55" s="58" t="str">
        <f>IF(AND('Mapa Institucional 2024'!$Y$66="Muy Baja",'Mapa Institucional 2024'!$AA$66="Mayor"),CONCATENATE("R10C",'Mapa Institucional 2024'!$O$66),"")</f>
        <v/>
      </c>
      <c r="AF55" s="58" t="str">
        <f>IF(AND('Mapa Institucional 2024'!$Y$67="Muy Baja",'Mapa Institucional 2024'!$AA$67="Mayor"),CONCATENATE("R10C",'Mapa Institucional 2024'!$O$67),"")</f>
        <v/>
      </c>
      <c r="AG55" s="59" t="str">
        <f>IF(AND('Mapa Institucional 2024'!$Y$68="Muy Baja",'Mapa Institucional 2024'!$AA$68="Mayor"),CONCATENATE("R10C",'Mapa Institucional 2024'!$O$68),"")</f>
        <v/>
      </c>
      <c r="AH55" s="60" t="str">
        <f>IF(AND('Mapa Institucional 2024'!$Y$63="Muy Baja",'Mapa Institucional 2024'!$AA$63="Catastrófico"),CONCATENATE("R10C",'Mapa Institucional 2024'!$O$63),"")</f>
        <v/>
      </c>
      <c r="AI55" s="61" t="str">
        <f>IF(AND('Mapa Institucional 2024'!$Y$64="Muy Baja",'Mapa Institucional 2024'!$AA$64="Catastrófico"),CONCATENATE("R10C",'Mapa Institucional 2024'!$O$64),"")</f>
        <v/>
      </c>
      <c r="AJ55" s="61" t="str">
        <f>IF(AND('Mapa Institucional 2024'!$Y$65="Muy Baja",'Mapa Institucional 2024'!$AA$65="Catastrófico"),CONCATENATE("R10C",'Mapa Institucional 2024'!$O$65),"")</f>
        <v/>
      </c>
      <c r="AK55" s="61" t="str">
        <f>IF(AND('Mapa Institucional 2024'!$Y$66="Muy Baja",'Mapa Institucional 2024'!$AA$66="Catastrófico"),CONCATENATE("R10C",'Mapa Institucional 2024'!$O$66),"")</f>
        <v/>
      </c>
      <c r="AL55" s="61" t="str">
        <f>IF(AND('Mapa Institucional 2024'!$Y$67="Muy Baja",'Mapa Institucional 2024'!$AA$67="Catastrófico"),CONCATENATE("R10C",'Mapa Institucional 2024'!$O$67),"")</f>
        <v/>
      </c>
      <c r="AM55" s="62" t="str">
        <f>IF(AND('Mapa Institucional 2024'!$Y$68="Muy Baja",'Mapa Institucional 2024'!$AA$68="Catastrófico"),CONCATENATE("R10C",'Mapa Institucional 2024'!$O$68),"")</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440" t="s">
        <v>112</v>
      </c>
      <c r="K56" s="441"/>
      <c r="L56" s="441"/>
      <c r="M56" s="441"/>
      <c r="N56" s="441"/>
      <c r="O56" s="442"/>
      <c r="P56" s="440" t="s">
        <v>111</v>
      </c>
      <c r="Q56" s="441"/>
      <c r="R56" s="441"/>
      <c r="S56" s="441"/>
      <c r="T56" s="441"/>
      <c r="U56" s="442"/>
      <c r="V56" s="440" t="s">
        <v>110</v>
      </c>
      <c r="W56" s="441"/>
      <c r="X56" s="441"/>
      <c r="Y56" s="441"/>
      <c r="Z56" s="441"/>
      <c r="AA56" s="442"/>
      <c r="AB56" s="440" t="s">
        <v>109</v>
      </c>
      <c r="AC56" s="449"/>
      <c r="AD56" s="441"/>
      <c r="AE56" s="441"/>
      <c r="AF56" s="441"/>
      <c r="AG56" s="442"/>
      <c r="AH56" s="440" t="s">
        <v>108</v>
      </c>
      <c r="AI56" s="441"/>
      <c r="AJ56" s="441"/>
      <c r="AK56" s="441"/>
      <c r="AL56" s="441"/>
      <c r="AM56" s="44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443"/>
      <c r="K57" s="444"/>
      <c r="L57" s="444"/>
      <c r="M57" s="444"/>
      <c r="N57" s="444"/>
      <c r="O57" s="445"/>
      <c r="P57" s="443"/>
      <c r="Q57" s="444"/>
      <c r="R57" s="444"/>
      <c r="S57" s="444"/>
      <c r="T57" s="444"/>
      <c r="U57" s="445"/>
      <c r="V57" s="443"/>
      <c r="W57" s="444"/>
      <c r="X57" s="444"/>
      <c r="Y57" s="444"/>
      <c r="Z57" s="444"/>
      <c r="AA57" s="445"/>
      <c r="AB57" s="443"/>
      <c r="AC57" s="444"/>
      <c r="AD57" s="444"/>
      <c r="AE57" s="444"/>
      <c r="AF57" s="444"/>
      <c r="AG57" s="445"/>
      <c r="AH57" s="443"/>
      <c r="AI57" s="444"/>
      <c r="AJ57" s="444"/>
      <c r="AK57" s="444"/>
      <c r="AL57" s="444"/>
      <c r="AM57" s="445"/>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443"/>
      <c r="K58" s="444"/>
      <c r="L58" s="444"/>
      <c r="M58" s="444"/>
      <c r="N58" s="444"/>
      <c r="O58" s="445"/>
      <c r="P58" s="443"/>
      <c r="Q58" s="444"/>
      <c r="R58" s="444"/>
      <c r="S58" s="444"/>
      <c r="T58" s="444"/>
      <c r="U58" s="445"/>
      <c r="V58" s="443"/>
      <c r="W58" s="444"/>
      <c r="X58" s="444"/>
      <c r="Y58" s="444"/>
      <c r="Z58" s="444"/>
      <c r="AA58" s="445"/>
      <c r="AB58" s="443"/>
      <c r="AC58" s="444"/>
      <c r="AD58" s="444"/>
      <c r="AE58" s="444"/>
      <c r="AF58" s="444"/>
      <c r="AG58" s="445"/>
      <c r="AH58" s="443"/>
      <c r="AI58" s="444"/>
      <c r="AJ58" s="444"/>
      <c r="AK58" s="444"/>
      <c r="AL58" s="444"/>
      <c r="AM58" s="445"/>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443"/>
      <c r="K59" s="444"/>
      <c r="L59" s="444"/>
      <c r="M59" s="444"/>
      <c r="N59" s="444"/>
      <c r="O59" s="445"/>
      <c r="P59" s="443"/>
      <c r="Q59" s="444"/>
      <c r="R59" s="444"/>
      <c r="S59" s="444"/>
      <c r="T59" s="444"/>
      <c r="U59" s="445"/>
      <c r="V59" s="443"/>
      <c r="W59" s="444"/>
      <c r="X59" s="444"/>
      <c r="Y59" s="444"/>
      <c r="Z59" s="444"/>
      <c r="AA59" s="445"/>
      <c r="AB59" s="443"/>
      <c r="AC59" s="444"/>
      <c r="AD59" s="444"/>
      <c r="AE59" s="444"/>
      <c r="AF59" s="444"/>
      <c r="AG59" s="445"/>
      <c r="AH59" s="443"/>
      <c r="AI59" s="444"/>
      <c r="AJ59" s="444"/>
      <c r="AK59" s="444"/>
      <c r="AL59" s="444"/>
      <c r="AM59" s="445"/>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443"/>
      <c r="K60" s="444"/>
      <c r="L60" s="444"/>
      <c r="M60" s="444"/>
      <c r="N60" s="444"/>
      <c r="O60" s="445"/>
      <c r="P60" s="443"/>
      <c r="Q60" s="444"/>
      <c r="R60" s="444"/>
      <c r="S60" s="444"/>
      <c r="T60" s="444"/>
      <c r="U60" s="445"/>
      <c r="V60" s="443"/>
      <c r="W60" s="444"/>
      <c r="X60" s="444"/>
      <c r="Y60" s="444"/>
      <c r="Z60" s="444"/>
      <c r="AA60" s="445"/>
      <c r="AB60" s="443"/>
      <c r="AC60" s="444"/>
      <c r="AD60" s="444"/>
      <c r="AE60" s="444"/>
      <c r="AF60" s="444"/>
      <c r="AG60" s="445"/>
      <c r="AH60" s="443"/>
      <c r="AI60" s="444"/>
      <c r="AJ60" s="444"/>
      <c r="AK60" s="444"/>
      <c r="AL60" s="444"/>
      <c r="AM60" s="445"/>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446"/>
      <c r="K61" s="447"/>
      <c r="L61" s="447"/>
      <c r="M61" s="447"/>
      <c r="N61" s="447"/>
      <c r="O61" s="448"/>
      <c r="P61" s="446"/>
      <c r="Q61" s="447"/>
      <c r="R61" s="447"/>
      <c r="S61" s="447"/>
      <c r="T61" s="447"/>
      <c r="U61" s="448"/>
      <c r="V61" s="446"/>
      <c r="W61" s="447"/>
      <c r="X61" s="447"/>
      <c r="Y61" s="447"/>
      <c r="Z61" s="447"/>
      <c r="AA61" s="448"/>
      <c r="AB61" s="446"/>
      <c r="AC61" s="447"/>
      <c r="AD61" s="447"/>
      <c r="AE61" s="447"/>
      <c r="AF61" s="447"/>
      <c r="AG61" s="448"/>
      <c r="AH61" s="446"/>
      <c r="AI61" s="447"/>
      <c r="AJ61" s="447"/>
      <c r="AK61" s="447"/>
      <c r="AL61" s="447"/>
      <c r="AM61" s="448"/>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P13" sqref="P13:Q13"/>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90" t="s">
        <v>55</v>
      </c>
      <c r="C1" s="490"/>
      <c r="D1" s="49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52</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51</v>
      </c>
      <c r="C4" s="13" t="s">
        <v>102</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53</v>
      </c>
      <c r="C5" s="16" t="s">
        <v>103</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107</v>
      </c>
      <c r="C6" s="16" t="s">
        <v>104</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105</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54</v>
      </c>
      <c r="C8" s="16" t="s">
        <v>106</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1" sqref="B1:D1"/>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91" t="s">
        <v>63</v>
      </c>
      <c r="C1" s="491"/>
      <c r="D1" s="491"/>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4" t="s">
        <v>56</v>
      </c>
      <c r="D3" s="34" t="s">
        <v>57</v>
      </c>
      <c r="E3" s="82"/>
      <c r="F3" s="82"/>
      <c r="G3" s="82"/>
      <c r="H3" s="82"/>
      <c r="I3" s="82"/>
      <c r="J3" s="82"/>
      <c r="K3" s="82"/>
      <c r="L3" s="82"/>
      <c r="M3" s="82"/>
      <c r="N3" s="82"/>
      <c r="O3" s="82"/>
      <c r="P3" s="82"/>
      <c r="Q3" s="82"/>
      <c r="R3" s="82"/>
      <c r="S3" s="82"/>
      <c r="T3" s="82"/>
      <c r="U3" s="82"/>
    </row>
    <row r="4" spans="1:21" ht="33.75" x14ac:dyDescent="0.25">
      <c r="A4" s="102" t="s">
        <v>83</v>
      </c>
      <c r="B4" s="37" t="s">
        <v>101</v>
      </c>
      <c r="C4" s="42" t="s">
        <v>155</v>
      </c>
      <c r="D4" s="35" t="s">
        <v>97</v>
      </c>
      <c r="E4" s="82"/>
      <c r="F4" s="82"/>
      <c r="G4" s="82"/>
      <c r="H4" s="82"/>
      <c r="I4" s="82"/>
      <c r="J4" s="82"/>
      <c r="K4" s="82"/>
      <c r="L4" s="82"/>
      <c r="M4" s="82"/>
      <c r="N4" s="82"/>
      <c r="O4" s="82"/>
      <c r="P4" s="82"/>
      <c r="Q4" s="82"/>
      <c r="R4" s="82"/>
      <c r="S4" s="82"/>
      <c r="T4" s="82"/>
      <c r="U4" s="82"/>
    </row>
    <row r="5" spans="1:21" ht="67.5" x14ac:dyDescent="0.25">
      <c r="A5" s="102" t="s">
        <v>84</v>
      </c>
      <c r="B5" s="38" t="s">
        <v>59</v>
      </c>
      <c r="C5" s="43" t="s">
        <v>93</v>
      </c>
      <c r="D5" s="36" t="s">
        <v>98</v>
      </c>
      <c r="E5" s="82"/>
      <c r="F5" s="82"/>
      <c r="G5" s="82"/>
      <c r="H5" s="82"/>
      <c r="I5" s="82"/>
      <c r="J5" s="82"/>
      <c r="K5" s="82"/>
      <c r="L5" s="82"/>
      <c r="M5" s="82"/>
      <c r="N5" s="82"/>
      <c r="O5" s="82"/>
      <c r="P5" s="82"/>
      <c r="Q5" s="82"/>
      <c r="R5" s="82"/>
      <c r="S5" s="82"/>
      <c r="T5" s="82"/>
      <c r="U5" s="82"/>
    </row>
    <row r="6" spans="1:21" ht="67.5" x14ac:dyDescent="0.25">
      <c r="A6" s="102" t="s">
        <v>81</v>
      </c>
      <c r="B6" s="39" t="s">
        <v>60</v>
      </c>
      <c r="C6" s="43" t="s">
        <v>94</v>
      </c>
      <c r="D6" s="36" t="s">
        <v>100</v>
      </c>
      <c r="E6" s="82"/>
      <c r="F6" s="82"/>
      <c r="G6" s="82"/>
      <c r="H6" s="82"/>
      <c r="I6" s="82"/>
      <c r="J6" s="82"/>
      <c r="K6" s="82"/>
      <c r="L6" s="82"/>
      <c r="M6" s="82"/>
      <c r="N6" s="82"/>
      <c r="O6" s="82"/>
      <c r="P6" s="82"/>
      <c r="Q6" s="82"/>
      <c r="R6" s="82"/>
      <c r="S6" s="82"/>
      <c r="T6" s="82"/>
      <c r="U6" s="82"/>
    </row>
    <row r="7" spans="1:21" ht="101.25" x14ac:dyDescent="0.25">
      <c r="A7" s="102" t="s">
        <v>7</v>
      </c>
      <c r="B7" s="40" t="s">
        <v>61</v>
      </c>
      <c r="C7" s="43" t="s">
        <v>95</v>
      </c>
      <c r="D7" s="36" t="s">
        <v>99</v>
      </c>
      <c r="E7" s="82"/>
      <c r="F7" s="82"/>
      <c r="G7" s="82"/>
      <c r="H7" s="82"/>
      <c r="I7" s="82"/>
      <c r="J7" s="82"/>
      <c r="K7" s="82"/>
      <c r="L7" s="82"/>
      <c r="M7" s="82"/>
      <c r="N7" s="82"/>
      <c r="O7" s="82"/>
      <c r="P7" s="82"/>
      <c r="Q7" s="82"/>
      <c r="R7" s="82"/>
      <c r="S7" s="82"/>
      <c r="T7" s="82"/>
      <c r="U7" s="82"/>
    </row>
    <row r="8" spans="1:21" ht="67.5" x14ac:dyDescent="0.25">
      <c r="A8" s="102" t="s">
        <v>85</v>
      </c>
      <c r="B8" s="41" t="s">
        <v>62</v>
      </c>
      <c r="C8" s="43" t="s">
        <v>96</v>
      </c>
      <c r="D8" s="36" t="s">
        <v>118</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91</v>
      </c>
      <c r="C11" s="102" t="s">
        <v>143</v>
      </c>
      <c r="D11" s="102" t="s">
        <v>150</v>
      </c>
      <c r="E11" s="82"/>
      <c r="F11" s="82"/>
      <c r="G11" s="82"/>
      <c r="H11" s="82"/>
      <c r="I11" s="82"/>
      <c r="J11" s="82"/>
      <c r="K11" s="82"/>
      <c r="L11" s="82"/>
      <c r="M11" s="82"/>
      <c r="N11" s="82"/>
      <c r="O11" s="82"/>
      <c r="P11" s="82"/>
      <c r="Q11" s="82"/>
      <c r="R11" s="82"/>
      <c r="S11" s="82"/>
      <c r="T11" s="82"/>
      <c r="U11" s="82"/>
    </row>
    <row r="12" spans="1:21" x14ac:dyDescent="0.25">
      <c r="A12" s="102"/>
      <c r="B12" s="102" t="s">
        <v>89</v>
      </c>
      <c r="C12" s="102" t="s">
        <v>147</v>
      </c>
      <c r="D12" s="102" t="s">
        <v>151</v>
      </c>
      <c r="E12" s="82"/>
      <c r="F12" s="82"/>
      <c r="G12" s="82"/>
      <c r="H12" s="82"/>
      <c r="I12" s="82"/>
      <c r="J12" s="82"/>
      <c r="K12" s="82"/>
      <c r="L12" s="82"/>
      <c r="M12" s="82"/>
      <c r="N12" s="82"/>
      <c r="O12" s="82"/>
      <c r="P12" s="82"/>
      <c r="Q12" s="82"/>
      <c r="R12" s="82"/>
      <c r="S12" s="82"/>
      <c r="T12" s="82"/>
      <c r="U12" s="82"/>
    </row>
    <row r="13" spans="1:21" x14ac:dyDescent="0.25">
      <c r="A13" s="102"/>
      <c r="B13" s="102"/>
      <c r="C13" s="102" t="s">
        <v>146</v>
      </c>
      <c r="D13" s="102" t="s">
        <v>152</v>
      </c>
      <c r="E13" s="82"/>
      <c r="F13" s="82"/>
      <c r="G13" s="82"/>
      <c r="H13" s="82"/>
      <c r="I13" s="82"/>
      <c r="J13" s="82"/>
      <c r="K13" s="82"/>
      <c r="L13" s="82"/>
      <c r="M13" s="82"/>
      <c r="N13" s="82"/>
      <c r="O13" s="82"/>
      <c r="P13" s="82"/>
      <c r="Q13" s="82"/>
      <c r="R13" s="82"/>
      <c r="S13" s="82"/>
      <c r="T13" s="82"/>
      <c r="U13" s="82"/>
    </row>
    <row r="14" spans="1:21" x14ac:dyDescent="0.25">
      <c r="A14" s="102"/>
      <c r="B14" s="102"/>
      <c r="C14" s="102" t="s">
        <v>148</v>
      </c>
      <c r="D14" s="102" t="s">
        <v>153</v>
      </c>
      <c r="E14" s="82"/>
      <c r="F14" s="82"/>
      <c r="G14" s="82"/>
      <c r="H14" s="82"/>
      <c r="I14" s="82"/>
      <c r="J14" s="82"/>
      <c r="K14" s="82"/>
      <c r="L14" s="82"/>
      <c r="M14" s="82"/>
      <c r="N14" s="82"/>
      <c r="O14" s="82"/>
      <c r="P14" s="82"/>
      <c r="Q14" s="82"/>
      <c r="R14" s="82"/>
      <c r="S14" s="82"/>
      <c r="T14" s="82"/>
      <c r="U14" s="82"/>
    </row>
    <row r="15" spans="1:21" x14ac:dyDescent="0.25">
      <c r="A15" s="102"/>
      <c r="B15" s="102"/>
      <c r="C15" s="102" t="s">
        <v>149</v>
      </c>
      <c r="D15" s="102" t="s">
        <v>154</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2"/>
      <c r="D52" s="32"/>
    </row>
    <row r="53" spans="1:15" ht="20.25" x14ac:dyDescent="0.25">
      <c r="A53" s="102"/>
      <c r="B53" s="22"/>
      <c r="C53" s="32"/>
      <c r="D53" s="32"/>
    </row>
    <row r="54" spans="1:15" ht="20.25" x14ac:dyDescent="0.25">
      <c r="A54" s="102"/>
      <c r="B54" s="22"/>
      <c r="C54" s="32"/>
      <c r="D54" s="32"/>
    </row>
    <row r="55" spans="1:15" ht="20.25" x14ac:dyDescent="0.25">
      <c r="A55" s="102"/>
      <c r="B55" s="22"/>
      <c r="C55" s="32"/>
      <c r="D55" s="32"/>
    </row>
    <row r="56" spans="1:15" ht="20.25" x14ac:dyDescent="0.25">
      <c r="A56" s="102"/>
      <c r="B56" s="22"/>
      <c r="C56" s="32"/>
      <c r="D56" s="32"/>
    </row>
    <row r="57" spans="1:15" ht="20.25" x14ac:dyDescent="0.25">
      <c r="A57" s="102"/>
      <c r="B57" s="22"/>
      <c r="C57" s="32"/>
      <c r="D57" s="32"/>
    </row>
    <row r="58" spans="1:15" ht="20.25" x14ac:dyDescent="0.25">
      <c r="A58" s="102"/>
      <c r="B58" s="22"/>
      <c r="C58" s="32"/>
      <c r="D58" s="32"/>
    </row>
    <row r="59" spans="1:15" ht="20.25" x14ac:dyDescent="0.25">
      <c r="A59" s="102"/>
      <c r="B59" s="22"/>
      <c r="C59" s="32"/>
      <c r="D59" s="32"/>
    </row>
    <row r="60" spans="1:15" ht="20.25" x14ac:dyDescent="0.25">
      <c r="A60" s="102"/>
      <c r="B60" s="22"/>
      <c r="C60" s="32"/>
      <c r="D60" s="32"/>
    </row>
    <row r="61" spans="1:15" ht="20.25" x14ac:dyDescent="0.25">
      <c r="A61" s="102"/>
      <c r="B61" s="22"/>
      <c r="C61" s="32"/>
      <c r="D61" s="32"/>
    </row>
    <row r="62" spans="1:15" ht="20.25" x14ac:dyDescent="0.25">
      <c r="A62" s="102"/>
      <c r="B62" s="22"/>
      <c r="C62" s="32"/>
      <c r="D62" s="32"/>
    </row>
    <row r="63" spans="1:15" ht="20.25" x14ac:dyDescent="0.25">
      <c r="A63" s="102"/>
      <c r="B63" s="22"/>
      <c r="C63" s="32"/>
      <c r="D63" s="32"/>
    </row>
    <row r="64" spans="1:15" ht="20.25" x14ac:dyDescent="0.25">
      <c r="A64" s="102"/>
      <c r="B64" s="22"/>
      <c r="C64" s="32"/>
      <c r="D64" s="32"/>
    </row>
    <row r="65" spans="1:4" ht="20.25" x14ac:dyDescent="0.25">
      <c r="A65" s="102"/>
      <c r="B65" s="22"/>
      <c r="C65" s="32"/>
      <c r="D65" s="32"/>
    </row>
    <row r="66" spans="1:4" ht="20.25" x14ac:dyDescent="0.25">
      <c r="A66" s="102"/>
      <c r="B66" s="22"/>
      <c r="C66" s="32"/>
      <c r="D66" s="32"/>
    </row>
    <row r="67" spans="1:4" ht="20.25" x14ac:dyDescent="0.25">
      <c r="A67" s="102"/>
      <c r="B67" s="22"/>
      <c r="C67" s="32"/>
      <c r="D67" s="32"/>
    </row>
    <row r="68" spans="1:4" ht="20.25" x14ac:dyDescent="0.25">
      <c r="A68" s="102"/>
      <c r="B68" s="22"/>
      <c r="C68" s="32"/>
      <c r="D68" s="32"/>
    </row>
    <row r="69" spans="1:4" ht="20.25" x14ac:dyDescent="0.25">
      <c r="A69" s="102"/>
      <c r="B69" s="22"/>
      <c r="C69" s="32"/>
      <c r="D69" s="32"/>
    </row>
    <row r="70" spans="1:4" ht="20.25" x14ac:dyDescent="0.25">
      <c r="A70" s="102"/>
      <c r="B70" s="22"/>
      <c r="C70" s="32"/>
      <c r="D70" s="32"/>
    </row>
    <row r="71" spans="1:4" ht="20.25" x14ac:dyDescent="0.25">
      <c r="A71" s="102"/>
      <c r="B71" s="22"/>
      <c r="C71" s="32"/>
      <c r="D71" s="32"/>
    </row>
    <row r="72" spans="1:4" ht="20.25" x14ac:dyDescent="0.25">
      <c r="A72" s="102"/>
      <c r="B72" s="22"/>
      <c r="C72" s="32"/>
      <c r="D72" s="32"/>
    </row>
    <row r="73" spans="1:4" ht="20.25" x14ac:dyDescent="0.25">
      <c r="A73" s="102"/>
      <c r="B73" s="22"/>
      <c r="C73" s="32"/>
      <c r="D73" s="32"/>
    </row>
    <row r="74" spans="1:4" ht="20.25" x14ac:dyDescent="0.25">
      <c r="A74" s="102"/>
      <c r="B74" s="22"/>
      <c r="C74" s="32"/>
      <c r="D74" s="32"/>
    </row>
    <row r="75" spans="1:4" ht="20.25" x14ac:dyDescent="0.25">
      <c r="A75" s="102"/>
      <c r="B75" s="22"/>
      <c r="C75" s="32"/>
      <c r="D75" s="32"/>
    </row>
    <row r="76" spans="1:4" ht="20.25" x14ac:dyDescent="0.25">
      <c r="A76" s="102"/>
      <c r="B76" s="22"/>
      <c r="C76" s="32"/>
      <c r="D76" s="32"/>
    </row>
    <row r="77" spans="1:4" ht="20.25" x14ac:dyDescent="0.25">
      <c r="A77" s="102"/>
      <c r="B77" s="22"/>
      <c r="C77" s="32"/>
      <c r="D77" s="32"/>
    </row>
    <row r="78" spans="1:4" ht="20.25" x14ac:dyDescent="0.25">
      <c r="A78" s="102"/>
      <c r="B78" s="22"/>
      <c r="C78" s="32"/>
      <c r="D78" s="32"/>
    </row>
    <row r="79" spans="1:4" ht="20.25" x14ac:dyDescent="0.25">
      <c r="A79" s="102"/>
      <c r="B79" s="22"/>
      <c r="C79" s="32"/>
      <c r="D79" s="32"/>
    </row>
    <row r="80" spans="1:4" ht="20.25" x14ac:dyDescent="0.25">
      <c r="A80" s="102"/>
      <c r="B80" s="22"/>
      <c r="C80" s="32"/>
      <c r="D80" s="32"/>
    </row>
    <row r="81" spans="1:4" ht="20.25" x14ac:dyDescent="0.25">
      <c r="A81" s="102"/>
      <c r="B81" s="22"/>
      <c r="C81" s="32"/>
      <c r="D81" s="32"/>
    </row>
    <row r="82" spans="1:4" ht="20.25" x14ac:dyDescent="0.25">
      <c r="A82" s="102"/>
      <c r="B82" s="22"/>
      <c r="C82" s="32"/>
      <c r="D82" s="32"/>
    </row>
    <row r="83" spans="1:4" ht="20.25" x14ac:dyDescent="0.25">
      <c r="A83" s="102"/>
      <c r="B83" s="22"/>
      <c r="C83" s="32"/>
      <c r="D83" s="32"/>
    </row>
    <row r="84" spans="1:4" ht="20.25" x14ac:dyDescent="0.25">
      <c r="A84" s="102"/>
      <c r="B84" s="22"/>
      <c r="C84" s="32"/>
      <c r="D84" s="32"/>
    </row>
    <row r="85" spans="1:4" ht="20.25" x14ac:dyDescent="0.25">
      <c r="A85" s="102"/>
      <c r="B85" s="22"/>
      <c r="C85" s="32"/>
      <c r="D85" s="32"/>
    </row>
    <row r="86" spans="1:4" ht="20.25" x14ac:dyDescent="0.25">
      <c r="A86" s="102"/>
      <c r="B86" s="22"/>
      <c r="C86" s="32"/>
      <c r="D86" s="32"/>
    </row>
    <row r="87" spans="1:4" ht="20.25" x14ac:dyDescent="0.25">
      <c r="A87" s="102"/>
      <c r="B87" s="22"/>
      <c r="C87" s="32"/>
      <c r="D87" s="32"/>
    </row>
    <row r="88" spans="1:4" ht="20.25" x14ac:dyDescent="0.25">
      <c r="A88" s="102"/>
      <c r="B88" s="22"/>
      <c r="C88" s="32"/>
      <c r="D88" s="32"/>
    </row>
    <row r="89" spans="1:4" ht="20.25" x14ac:dyDescent="0.25">
      <c r="A89" s="102"/>
      <c r="B89" s="22"/>
      <c r="C89" s="32"/>
      <c r="D89" s="32"/>
    </row>
    <row r="90" spans="1:4" ht="20.25" x14ac:dyDescent="0.25">
      <c r="A90" s="102"/>
      <c r="B90" s="22"/>
      <c r="C90" s="32"/>
      <c r="D90" s="32"/>
    </row>
    <row r="91" spans="1:4" ht="20.25" x14ac:dyDescent="0.25">
      <c r="A91" s="102"/>
      <c r="B91" s="22"/>
      <c r="C91" s="32"/>
      <c r="D91" s="32"/>
    </row>
    <row r="92" spans="1:4" ht="20.25" x14ac:dyDescent="0.25">
      <c r="A92" s="102"/>
      <c r="B92" s="22"/>
      <c r="C92" s="32"/>
      <c r="D92" s="32"/>
    </row>
    <row r="93" spans="1:4" ht="20.25" x14ac:dyDescent="0.25">
      <c r="A93" s="102"/>
      <c r="B93" s="22"/>
      <c r="C93" s="32"/>
      <c r="D93" s="32"/>
    </row>
    <row r="94" spans="1:4" ht="20.25" x14ac:dyDescent="0.25">
      <c r="A94" s="102"/>
      <c r="B94" s="22"/>
      <c r="C94" s="32"/>
      <c r="D94" s="32"/>
    </row>
    <row r="95" spans="1:4" ht="20.25" x14ac:dyDescent="0.25">
      <c r="A95" s="102"/>
      <c r="B95" s="22"/>
      <c r="C95" s="32"/>
      <c r="D95" s="32"/>
    </row>
    <row r="96" spans="1:4" ht="20.25" x14ac:dyDescent="0.25">
      <c r="A96" s="102"/>
      <c r="B96" s="22"/>
      <c r="C96" s="32"/>
      <c r="D96" s="32"/>
    </row>
    <row r="97" spans="1:4" ht="20.25" x14ac:dyDescent="0.25">
      <c r="A97" s="102"/>
      <c r="B97" s="22"/>
      <c r="C97" s="32"/>
      <c r="D97" s="32"/>
    </row>
    <row r="98" spans="1:4" ht="20.25" x14ac:dyDescent="0.25">
      <c r="A98" s="102"/>
      <c r="B98" s="22"/>
      <c r="C98" s="32"/>
      <c r="D98" s="32"/>
    </row>
    <row r="99" spans="1:4" ht="20.25" x14ac:dyDescent="0.25">
      <c r="A99" s="102"/>
      <c r="B99" s="22"/>
      <c r="C99" s="32"/>
      <c r="D99" s="32"/>
    </row>
    <row r="100" spans="1:4" ht="20.25" x14ac:dyDescent="0.25">
      <c r="A100" s="102"/>
      <c r="B100" s="22"/>
      <c r="C100" s="32"/>
      <c r="D100" s="32"/>
    </row>
    <row r="101" spans="1:4" ht="20.25" x14ac:dyDescent="0.25">
      <c r="A101" s="102"/>
      <c r="B101" s="22"/>
      <c r="C101" s="32"/>
      <c r="D101" s="32"/>
    </row>
    <row r="102" spans="1:4" ht="20.25" x14ac:dyDescent="0.25">
      <c r="A102" s="102"/>
      <c r="B102" s="22"/>
      <c r="C102" s="32"/>
      <c r="D102" s="32"/>
    </row>
    <row r="103" spans="1:4" ht="20.25" x14ac:dyDescent="0.25">
      <c r="A103" s="102"/>
      <c r="B103" s="22"/>
      <c r="C103" s="32"/>
      <c r="D103" s="32"/>
    </row>
    <row r="104" spans="1:4" ht="20.25" x14ac:dyDescent="0.25">
      <c r="A104" s="102"/>
      <c r="B104" s="22"/>
      <c r="C104" s="32"/>
      <c r="D104" s="32"/>
    </row>
    <row r="105" spans="1:4" ht="20.25" x14ac:dyDescent="0.25">
      <c r="A105" s="102"/>
      <c r="B105" s="22"/>
      <c r="C105" s="32"/>
      <c r="D105" s="32"/>
    </row>
    <row r="106" spans="1:4" ht="20.25" x14ac:dyDescent="0.25">
      <c r="A106" s="102"/>
      <c r="B106" s="22"/>
      <c r="C106" s="32"/>
      <c r="D106" s="32"/>
    </row>
    <row r="107" spans="1:4" ht="20.25" x14ac:dyDescent="0.25">
      <c r="A107" s="102"/>
      <c r="B107" s="22"/>
      <c r="C107" s="32"/>
      <c r="D107" s="32"/>
    </row>
    <row r="108" spans="1:4" ht="20.25" x14ac:dyDescent="0.25">
      <c r="A108" s="102"/>
      <c r="B108" s="22"/>
      <c r="C108" s="32"/>
      <c r="D108" s="32"/>
    </row>
    <row r="109" spans="1:4" ht="20.25" x14ac:dyDescent="0.25">
      <c r="A109" s="102"/>
      <c r="B109" s="22"/>
      <c r="C109" s="32"/>
      <c r="D109" s="32"/>
    </row>
    <row r="110" spans="1:4" ht="20.25" x14ac:dyDescent="0.25">
      <c r="A110" s="102"/>
      <c r="B110" s="22"/>
      <c r="C110" s="32"/>
      <c r="D110" s="32"/>
    </row>
    <row r="111" spans="1:4" ht="20.25" x14ac:dyDescent="0.25">
      <c r="A111" s="102"/>
      <c r="B111" s="22"/>
      <c r="C111" s="32"/>
      <c r="D111" s="32"/>
    </row>
    <row r="112" spans="1:4" ht="20.25" x14ac:dyDescent="0.25">
      <c r="A112" s="102"/>
      <c r="B112" s="22"/>
      <c r="C112" s="32"/>
      <c r="D112" s="32"/>
    </row>
    <row r="113" spans="1:4" ht="20.25" x14ac:dyDescent="0.25">
      <c r="A113" s="102"/>
      <c r="B113" s="22"/>
      <c r="C113" s="32"/>
      <c r="D113" s="32"/>
    </row>
    <row r="114" spans="1:4" ht="20.25" x14ac:dyDescent="0.25">
      <c r="A114" s="102"/>
      <c r="B114" s="22"/>
      <c r="C114" s="32"/>
      <c r="D114" s="32"/>
    </row>
    <row r="115" spans="1:4" ht="20.25" x14ac:dyDescent="0.25">
      <c r="A115" s="102"/>
      <c r="B115" s="22"/>
      <c r="C115" s="32"/>
      <c r="D115" s="32"/>
    </row>
    <row r="116" spans="1:4" ht="20.25" x14ac:dyDescent="0.25">
      <c r="A116" s="102"/>
      <c r="B116" s="22"/>
      <c r="C116" s="32"/>
      <c r="D116" s="32"/>
    </row>
    <row r="117" spans="1:4" ht="20.25" x14ac:dyDescent="0.25">
      <c r="A117" s="102"/>
      <c r="B117" s="22"/>
      <c r="C117" s="32"/>
      <c r="D117" s="32"/>
    </row>
    <row r="118" spans="1:4" ht="20.25" x14ac:dyDescent="0.25">
      <c r="A118" s="102"/>
      <c r="B118" s="22"/>
      <c r="C118" s="32"/>
      <c r="D118" s="32"/>
    </row>
    <row r="119" spans="1:4" ht="20.25" x14ac:dyDescent="0.25">
      <c r="A119" s="102"/>
      <c r="B119" s="22"/>
      <c r="C119" s="32"/>
      <c r="D119" s="32"/>
    </row>
    <row r="120" spans="1:4" ht="20.25" x14ac:dyDescent="0.25">
      <c r="A120" s="102"/>
      <c r="B120" s="22"/>
      <c r="C120" s="32"/>
      <c r="D120" s="32"/>
    </row>
    <row r="121" spans="1:4" ht="20.25" x14ac:dyDescent="0.25">
      <c r="A121" s="102"/>
      <c r="B121" s="22"/>
      <c r="C121" s="32"/>
      <c r="D121" s="32"/>
    </row>
    <row r="122" spans="1:4" ht="20.25" x14ac:dyDescent="0.25">
      <c r="A122" s="102"/>
      <c r="B122" s="22"/>
      <c r="C122" s="32"/>
      <c r="D122" s="32"/>
    </row>
    <row r="123" spans="1:4" ht="20.25" x14ac:dyDescent="0.25">
      <c r="A123" s="102"/>
      <c r="B123" s="22"/>
      <c r="C123" s="32"/>
      <c r="D123" s="32"/>
    </row>
    <row r="124" spans="1:4" ht="20.25" x14ac:dyDescent="0.25">
      <c r="A124" s="102"/>
      <c r="B124" s="22"/>
      <c r="C124" s="32"/>
      <c r="D124" s="32"/>
    </row>
    <row r="125" spans="1:4" ht="20.25" x14ac:dyDescent="0.25">
      <c r="A125" s="102"/>
      <c r="B125" s="22"/>
      <c r="C125" s="32"/>
      <c r="D125" s="32"/>
    </row>
    <row r="126" spans="1:4" ht="20.25" x14ac:dyDescent="0.25">
      <c r="A126" s="102"/>
      <c r="B126" s="22"/>
      <c r="C126" s="32"/>
      <c r="D126" s="32"/>
    </row>
    <row r="127" spans="1:4" ht="20.25" x14ac:dyDescent="0.25">
      <c r="A127" s="102"/>
      <c r="B127" s="22"/>
      <c r="C127" s="32"/>
      <c r="D127" s="32"/>
    </row>
    <row r="128" spans="1:4" ht="20.25" x14ac:dyDescent="0.25">
      <c r="A128" s="102"/>
      <c r="B128" s="22"/>
      <c r="C128" s="32"/>
      <c r="D128" s="32"/>
    </row>
    <row r="129" spans="1:4" ht="20.25" x14ac:dyDescent="0.25">
      <c r="A129" s="102"/>
      <c r="B129" s="22"/>
      <c r="C129" s="32"/>
      <c r="D129" s="32"/>
    </row>
    <row r="130" spans="1:4" ht="20.25" x14ac:dyDescent="0.25">
      <c r="A130" s="102"/>
      <c r="B130" s="22"/>
      <c r="C130" s="32"/>
      <c r="D130" s="32"/>
    </row>
    <row r="131" spans="1:4" ht="20.25" x14ac:dyDescent="0.25">
      <c r="A131" s="102"/>
      <c r="B131" s="22"/>
      <c r="C131" s="32"/>
      <c r="D131" s="32"/>
    </row>
    <row r="132" spans="1:4" ht="20.25" x14ac:dyDescent="0.25">
      <c r="A132" s="102"/>
      <c r="B132" s="22"/>
      <c r="C132" s="32"/>
      <c r="D132" s="32"/>
    </row>
    <row r="133" spans="1:4" ht="20.25" x14ac:dyDescent="0.25">
      <c r="A133" s="102"/>
      <c r="B133" s="22"/>
      <c r="C133" s="32"/>
      <c r="D133" s="32"/>
    </row>
    <row r="134" spans="1:4" ht="20.25" x14ac:dyDescent="0.25">
      <c r="A134" s="102"/>
      <c r="B134" s="22"/>
      <c r="C134" s="32"/>
      <c r="D134" s="32"/>
    </row>
    <row r="135" spans="1:4" ht="20.25" x14ac:dyDescent="0.25">
      <c r="A135" s="102"/>
      <c r="B135" s="22"/>
      <c r="C135" s="32"/>
      <c r="D135" s="32"/>
    </row>
    <row r="136" spans="1:4" ht="20.25" x14ac:dyDescent="0.25">
      <c r="A136" s="102"/>
      <c r="B136" s="22"/>
      <c r="C136" s="32"/>
      <c r="D136" s="32"/>
    </row>
    <row r="137" spans="1:4" ht="20.25" x14ac:dyDescent="0.25">
      <c r="A137" s="102"/>
      <c r="B137" s="22"/>
      <c r="C137" s="32"/>
      <c r="D137" s="32"/>
    </row>
    <row r="138" spans="1:4" ht="20.25" x14ac:dyDescent="0.25">
      <c r="A138" s="102"/>
      <c r="B138" s="22"/>
      <c r="C138" s="32"/>
      <c r="D138" s="32"/>
    </row>
    <row r="139" spans="1:4" ht="20.25" x14ac:dyDescent="0.25">
      <c r="A139" s="102"/>
      <c r="B139" s="22"/>
      <c r="C139" s="32"/>
      <c r="D139" s="32"/>
    </row>
    <row r="140" spans="1:4" ht="20.25" x14ac:dyDescent="0.25">
      <c r="A140" s="102"/>
      <c r="B140" s="22"/>
      <c r="C140" s="32"/>
      <c r="D140" s="32"/>
    </row>
    <row r="141" spans="1:4" ht="20.25" x14ac:dyDescent="0.25">
      <c r="A141" s="102"/>
      <c r="B141" s="22"/>
      <c r="C141" s="32"/>
      <c r="D141" s="32"/>
    </row>
    <row r="142" spans="1:4" ht="20.25" x14ac:dyDescent="0.25">
      <c r="A142" s="102"/>
      <c r="B142" s="22"/>
      <c r="C142" s="32"/>
      <c r="D142" s="32"/>
    </row>
    <row r="143" spans="1:4" ht="20.25" x14ac:dyDescent="0.25">
      <c r="A143" s="102"/>
      <c r="B143" s="22"/>
      <c r="C143" s="32"/>
      <c r="D143" s="32"/>
    </row>
    <row r="144" spans="1:4" ht="20.25" x14ac:dyDescent="0.25">
      <c r="A144" s="102"/>
      <c r="B144" s="22"/>
      <c r="C144" s="32"/>
      <c r="D144" s="32"/>
    </row>
    <row r="145" spans="1:4" ht="20.25" x14ac:dyDescent="0.25">
      <c r="A145" s="102"/>
      <c r="B145" s="22"/>
      <c r="C145" s="32"/>
      <c r="D145" s="32"/>
    </row>
    <row r="146" spans="1:4" ht="20.25" x14ac:dyDescent="0.25">
      <c r="A146" s="102"/>
      <c r="B146" s="22"/>
      <c r="C146" s="32"/>
      <c r="D146" s="32"/>
    </row>
    <row r="147" spans="1:4" ht="20.25" x14ac:dyDescent="0.25">
      <c r="A147" s="102"/>
      <c r="B147" s="22"/>
      <c r="C147" s="32"/>
      <c r="D147" s="32"/>
    </row>
    <row r="148" spans="1:4" ht="20.25" x14ac:dyDescent="0.25">
      <c r="A148" s="102"/>
      <c r="B148" s="22"/>
      <c r="C148" s="32"/>
      <c r="D148" s="32"/>
    </row>
    <row r="149" spans="1:4" ht="20.25" x14ac:dyDescent="0.25">
      <c r="A149" s="102"/>
      <c r="B149" s="22"/>
      <c r="C149" s="32"/>
      <c r="D149" s="32"/>
    </row>
    <row r="150" spans="1:4" ht="20.25" x14ac:dyDescent="0.25">
      <c r="A150" s="102"/>
      <c r="B150" s="22"/>
      <c r="C150" s="32"/>
      <c r="D150" s="32"/>
    </row>
    <row r="151" spans="1:4" ht="20.25" x14ac:dyDescent="0.25">
      <c r="A151" s="102"/>
      <c r="B151" s="22"/>
      <c r="C151" s="32"/>
      <c r="D151" s="32"/>
    </row>
    <row r="152" spans="1:4" ht="20.25" x14ac:dyDescent="0.25">
      <c r="A152" s="102"/>
      <c r="B152" s="22"/>
      <c r="C152" s="32"/>
      <c r="D152" s="32"/>
    </row>
    <row r="153" spans="1:4" ht="20.25" x14ac:dyDescent="0.25">
      <c r="A153" s="102"/>
      <c r="B153" s="22"/>
      <c r="C153" s="32"/>
      <c r="D153" s="32"/>
    </row>
    <row r="154" spans="1:4" ht="20.25" x14ac:dyDescent="0.25">
      <c r="A154" s="102"/>
      <c r="B154" s="22"/>
      <c r="C154" s="32"/>
      <c r="D154" s="32"/>
    </row>
    <row r="155" spans="1:4" ht="20.25" x14ac:dyDescent="0.25">
      <c r="A155" s="102"/>
      <c r="B155" s="22"/>
      <c r="C155" s="32"/>
      <c r="D155" s="32"/>
    </row>
    <row r="156" spans="1:4" ht="20.25" x14ac:dyDescent="0.25">
      <c r="A156" s="102"/>
      <c r="B156" s="22"/>
      <c r="C156" s="32"/>
      <c r="D156" s="32"/>
    </row>
    <row r="157" spans="1:4" ht="20.25" x14ac:dyDescent="0.25">
      <c r="A157" s="102"/>
      <c r="B157" s="22"/>
      <c r="C157" s="32"/>
      <c r="D157" s="32"/>
    </row>
    <row r="158" spans="1:4" ht="20.25" x14ac:dyDescent="0.25">
      <c r="A158" s="102"/>
      <c r="B158" s="22"/>
      <c r="C158" s="32"/>
      <c r="D158" s="32"/>
    </row>
    <row r="159" spans="1:4" ht="20.25" x14ac:dyDescent="0.25">
      <c r="A159" s="102"/>
      <c r="B159" s="22"/>
      <c r="C159" s="32"/>
      <c r="D159" s="32"/>
    </row>
    <row r="160" spans="1:4" ht="20.25" x14ac:dyDescent="0.25">
      <c r="A160" s="102"/>
      <c r="B160" s="22"/>
      <c r="C160" s="32"/>
      <c r="D160" s="32"/>
    </row>
    <row r="161" spans="1:4" ht="20.25" x14ac:dyDescent="0.25">
      <c r="A161" s="102"/>
      <c r="B161" s="22"/>
      <c r="C161" s="32"/>
      <c r="D161" s="32"/>
    </row>
    <row r="162" spans="1:4" ht="20.25" x14ac:dyDescent="0.25">
      <c r="A162" s="102"/>
      <c r="B162" s="22"/>
      <c r="C162" s="32"/>
      <c r="D162" s="32"/>
    </row>
    <row r="163" spans="1:4" ht="20.25" x14ac:dyDescent="0.25">
      <c r="A163" s="102"/>
      <c r="B163" s="22"/>
      <c r="C163" s="32"/>
      <c r="D163" s="32"/>
    </row>
    <row r="164" spans="1:4" ht="20.25" x14ac:dyDescent="0.25">
      <c r="A164" s="102"/>
      <c r="B164" s="22"/>
      <c r="C164" s="32"/>
      <c r="D164" s="32"/>
    </row>
    <row r="165" spans="1:4" ht="20.25" x14ac:dyDescent="0.25">
      <c r="A165" s="102"/>
      <c r="B165" s="22"/>
      <c r="C165" s="32"/>
      <c r="D165" s="32"/>
    </row>
    <row r="166" spans="1:4" ht="20.25" x14ac:dyDescent="0.25">
      <c r="A166" s="102"/>
      <c r="B166" s="22"/>
      <c r="C166" s="32"/>
      <c r="D166" s="32"/>
    </row>
    <row r="167" spans="1:4" ht="20.25" x14ac:dyDescent="0.25">
      <c r="A167" s="102"/>
      <c r="B167" s="22"/>
      <c r="C167" s="32"/>
      <c r="D167" s="32"/>
    </row>
    <row r="168" spans="1:4" ht="20.25" x14ac:dyDescent="0.25">
      <c r="A168" s="102"/>
      <c r="B168" s="22"/>
      <c r="C168" s="32"/>
      <c r="D168" s="32"/>
    </row>
    <row r="169" spans="1:4" ht="20.25" x14ac:dyDescent="0.25">
      <c r="A169" s="102"/>
      <c r="B169" s="22"/>
      <c r="C169" s="32"/>
      <c r="D169" s="32"/>
    </row>
    <row r="170" spans="1:4" ht="20.25" x14ac:dyDescent="0.25">
      <c r="A170" s="102"/>
      <c r="B170" s="22"/>
      <c r="C170" s="32"/>
      <c r="D170" s="32"/>
    </row>
    <row r="171" spans="1:4" ht="20.25" x14ac:dyDescent="0.25">
      <c r="A171" s="102"/>
      <c r="B171" s="22"/>
      <c r="C171" s="32"/>
      <c r="D171" s="32"/>
    </row>
    <row r="172" spans="1:4" ht="20.25" x14ac:dyDescent="0.25">
      <c r="A172" s="102"/>
      <c r="B172" s="22"/>
      <c r="C172" s="32"/>
      <c r="D172" s="32"/>
    </row>
    <row r="173" spans="1:4" ht="20.25" x14ac:dyDescent="0.25">
      <c r="A173" s="102"/>
      <c r="B173" s="22"/>
      <c r="C173" s="32"/>
      <c r="D173" s="32"/>
    </row>
    <row r="174" spans="1:4" ht="20.25" x14ac:dyDescent="0.25">
      <c r="A174" s="102"/>
      <c r="B174" s="22"/>
      <c r="C174" s="32"/>
      <c r="D174" s="32"/>
    </row>
    <row r="175" spans="1:4" ht="20.25" x14ac:dyDescent="0.25">
      <c r="A175" s="102"/>
      <c r="B175" s="22"/>
      <c r="C175" s="32"/>
      <c r="D175" s="32"/>
    </row>
    <row r="176" spans="1:4" ht="20.25" x14ac:dyDescent="0.25">
      <c r="A176" s="102"/>
      <c r="B176" s="22"/>
      <c r="C176" s="32"/>
      <c r="D176" s="32"/>
    </row>
    <row r="177" spans="1:4" ht="20.25" x14ac:dyDescent="0.25">
      <c r="A177" s="102"/>
      <c r="B177" s="22"/>
      <c r="C177" s="32"/>
      <c r="D177" s="32"/>
    </row>
    <row r="178" spans="1:4" ht="20.25" x14ac:dyDescent="0.25">
      <c r="A178" s="102"/>
      <c r="B178" s="22"/>
      <c r="C178" s="32"/>
      <c r="D178" s="32"/>
    </row>
    <row r="179" spans="1:4" ht="20.25" x14ac:dyDescent="0.25">
      <c r="A179" s="102"/>
      <c r="B179" s="22"/>
      <c r="C179" s="32"/>
      <c r="D179" s="32"/>
    </row>
    <row r="180" spans="1:4" ht="20.25" x14ac:dyDescent="0.25">
      <c r="A180" s="102"/>
      <c r="B180" s="22"/>
      <c r="C180" s="32"/>
      <c r="D180" s="32"/>
    </row>
    <row r="181" spans="1:4" ht="20.25" x14ac:dyDescent="0.25">
      <c r="A181" s="102"/>
      <c r="B181" s="22"/>
      <c r="C181" s="32"/>
      <c r="D181" s="32"/>
    </row>
    <row r="182" spans="1:4" ht="20.25" x14ac:dyDescent="0.25">
      <c r="A182" s="102"/>
      <c r="B182" s="22"/>
      <c r="C182" s="32"/>
      <c r="D182" s="32"/>
    </row>
    <row r="183" spans="1:4" ht="20.25" x14ac:dyDescent="0.25">
      <c r="A183" s="102"/>
      <c r="B183" s="22"/>
      <c r="C183" s="32"/>
      <c r="D183" s="32"/>
    </row>
    <row r="184" spans="1:4" ht="20.25" x14ac:dyDescent="0.25">
      <c r="A184" s="102"/>
      <c r="B184" s="22"/>
      <c r="C184" s="32"/>
      <c r="D184" s="32"/>
    </row>
    <row r="185" spans="1:4" ht="20.25" x14ac:dyDescent="0.25">
      <c r="A185" s="102"/>
      <c r="B185" s="22"/>
      <c r="C185" s="32"/>
      <c r="D185" s="32"/>
    </row>
    <row r="186" spans="1:4" ht="20.25" x14ac:dyDescent="0.25">
      <c r="A186" s="102"/>
      <c r="B186" s="22"/>
      <c r="C186" s="32"/>
      <c r="D186" s="32"/>
    </row>
    <row r="187" spans="1:4" ht="20.25" x14ac:dyDescent="0.25">
      <c r="A187" s="102"/>
      <c r="B187" s="22"/>
      <c r="C187" s="32"/>
      <c r="D187" s="32"/>
    </row>
    <row r="188" spans="1:4" ht="20.25" x14ac:dyDescent="0.25">
      <c r="A188" s="102"/>
      <c r="B188" s="22"/>
      <c r="C188" s="32"/>
      <c r="D188" s="32"/>
    </row>
    <row r="189" spans="1:4" ht="20.25" x14ac:dyDescent="0.25">
      <c r="A189" s="102"/>
      <c r="B189" s="22"/>
      <c r="C189" s="32"/>
      <c r="D189" s="32"/>
    </row>
    <row r="190" spans="1:4" ht="20.25" x14ac:dyDescent="0.25">
      <c r="A190" s="102"/>
      <c r="B190" s="22"/>
      <c r="C190" s="32"/>
      <c r="D190" s="32"/>
    </row>
    <row r="191" spans="1:4" ht="20.25" x14ac:dyDescent="0.25">
      <c r="A191" s="102"/>
      <c r="B191" s="22"/>
      <c r="C191" s="32"/>
      <c r="D191" s="32"/>
    </row>
    <row r="192" spans="1:4" ht="20.25" x14ac:dyDescent="0.25">
      <c r="A192" s="102"/>
      <c r="B192" s="22"/>
      <c r="C192" s="32"/>
      <c r="D192" s="32"/>
    </row>
    <row r="193" spans="1:4" ht="20.25" x14ac:dyDescent="0.25">
      <c r="A193" s="102"/>
      <c r="B193" s="22"/>
      <c r="C193" s="32"/>
      <c r="D193" s="32"/>
    </row>
    <row r="194" spans="1:4" ht="20.25" x14ac:dyDescent="0.25">
      <c r="A194" s="102"/>
      <c r="B194" s="22"/>
      <c r="C194" s="32"/>
      <c r="D194" s="32"/>
    </row>
    <row r="195" spans="1:4" ht="20.25" x14ac:dyDescent="0.25">
      <c r="A195" s="102"/>
      <c r="B195" s="22"/>
      <c r="C195" s="32"/>
      <c r="D195" s="32"/>
    </row>
    <row r="196" spans="1:4" ht="20.25" x14ac:dyDescent="0.25">
      <c r="A196" s="102"/>
      <c r="B196" s="22"/>
      <c r="C196" s="32"/>
      <c r="D196" s="32"/>
    </row>
    <row r="197" spans="1:4" ht="20.25" x14ac:dyDescent="0.25">
      <c r="A197" s="102"/>
      <c r="B197" s="22"/>
      <c r="C197" s="32"/>
      <c r="D197" s="32"/>
    </row>
    <row r="198" spans="1:4" ht="20.25" x14ac:dyDescent="0.25">
      <c r="A198" s="102"/>
      <c r="B198" s="22"/>
      <c r="C198" s="32"/>
      <c r="D198" s="32"/>
    </row>
    <row r="199" spans="1:4" ht="20.25" x14ac:dyDescent="0.25">
      <c r="A199" s="102"/>
      <c r="B199" s="22"/>
      <c r="C199" s="32"/>
      <c r="D199" s="32"/>
    </row>
    <row r="200" spans="1:4" ht="20.25" x14ac:dyDescent="0.25">
      <c r="A200" s="102"/>
      <c r="B200" s="22"/>
      <c r="C200" s="32"/>
      <c r="D200" s="32"/>
    </row>
    <row r="201" spans="1:4" ht="20.25" x14ac:dyDescent="0.25">
      <c r="A201" s="102"/>
      <c r="B201" s="22"/>
      <c r="C201" s="32"/>
      <c r="D201" s="32"/>
    </row>
    <row r="202" spans="1:4" ht="20.25" x14ac:dyDescent="0.25">
      <c r="A202" s="102"/>
      <c r="B202" s="22"/>
      <c r="C202" s="32"/>
      <c r="D202" s="32"/>
    </row>
    <row r="203" spans="1:4" ht="20.25" x14ac:dyDescent="0.25">
      <c r="A203" s="102"/>
      <c r="B203" s="22"/>
      <c r="C203" s="32"/>
      <c r="D203" s="32"/>
    </row>
    <row r="204" spans="1:4" ht="20.25" x14ac:dyDescent="0.25">
      <c r="A204" s="102"/>
      <c r="B204" s="22"/>
      <c r="C204" s="32"/>
      <c r="D204" s="32"/>
    </row>
    <row r="205" spans="1:4" ht="20.25" x14ac:dyDescent="0.25">
      <c r="A205" s="102"/>
      <c r="B205" s="22"/>
      <c r="C205" s="32"/>
      <c r="D205" s="32"/>
    </row>
    <row r="206" spans="1:4" ht="20.25" x14ac:dyDescent="0.25">
      <c r="A206" s="102"/>
      <c r="B206" s="22"/>
      <c r="C206" s="32"/>
      <c r="D206" s="32"/>
    </row>
    <row r="207" spans="1:4" ht="20.25" x14ac:dyDescent="0.25">
      <c r="A207" s="102"/>
      <c r="B207" s="22"/>
      <c r="C207" s="32"/>
      <c r="D207" s="32"/>
    </row>
    <row r="208" spans="1:4" x14ac:dyDescent="0.25">
      <c r="A208" s="82"/>
      <c r="B208" s="22"/>
      <c r="C208" s="22"/>
      <c r="D208" s="22"/>
    </row>
    <row r="209" spans="1:8" ht="20.25" x14ac:dyDescent="0.25">
      <c r="A209" s="82"/>
      <c r="B209" s="28" t="s">
        <v>88</v>
      </c>
      <c r="C209" s="28" t="s">
        <v>142</v>
      </c>
      <c r="D209" s="31" t="s">
        <v>88</v>
      </c>
      <c r="E209" s="31" t="s">
        <v>142</v>
      </c>
    </row>
    <row r="210" spans="1:8" ht="21" x14ac:dyDescent="0.35">
      <c r="A210" s="82"/>
      <c r="B210" s="29" t="s">
        <v>90</v>
      </c>
      <c r="C210" s="29"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2"/>
      <c r="B211" s="29" t="s">
        <v>90</v>
      </c>
      <c r="C211" s="29" t="s">
        <v>93</v>
      </c>
      <c r="E211" t="s">
        <v>58</v>
      </c>
      <c r="F211" t="str">
        <f t="shared" ref="F211:F221" si="0">IF(NOT(ISBLANK(D211)),D211,IF(NOT(ISBLANK(E211)),"     "&amp;E211,FALSE))</f>
        <v xml:space="preserve">     Afectación menor a 10 SMLMV .</v>
      </c>
    </row>
    <row r="212" spans="1:8" ht="21" x14ac:dyDescent="0.35">
      <c r="A212" s="82"/>
      <c r="B212" s="29" t="s">
        <v>90</v>
      </c>
      <c r="C212" s="29" t="s">
        <v>94</v>
      </c>
      <c r="E212" t="s">
        <v>93</v>
      </c>
      <c r="F212" t="str">
        <f t="shared" si="0"/>
        <v xml:space="preserve">     Entre 10 y 50 SMLMV </v>
      </c>
    </row>
    <row r="213" spans="1:8" ht="21" x14ac:dyDescent="0.35">
      <c r="A213" s="82"/>
      <c r="B213" s="29" t="s">
        <v>90</v>
      </c>
      <c r="C213" s="29" t="s">
        <v>95</v>
      </c>
      <c r="E213" t="s">
        <v>94</v>
      </c>
      <c r="F213" t="str">
        <f t="shared" si="0"/>
        <v xml:space="preserve">     Entre 50 y 100 SMLMV </v>
      </c>
    </row>
    <row r="214" spans="1:8" ht="21" x14ac:dyDescent="0.35">
      <c r="A214" s="82"/>
      <c r="B214" s="29" t="s">
        <v>90</v>
      </c>
      <c r="C214" s="29" t="s">
        <v>96</v>
      </c>
      <c r="E214" t="s">
        <v>95</v>
      </c>
      <c r="F214" t="str">
        <f t="shared" si="0"/>
        <v xml:space="preserve">     Entre 100 y 500 SMLMV </v>
      </c>
    </row>
    <row r="215" spans="1:8" ht="21" x14ac:dyDescent="0.35">
      <c r="A215" s="82"/>
      <c r="B215" s="29" t="s">
        <v>57</v>
      </c>
      <c r="C215" s="29" t="s">
        <v>97</v>
      </c>
      <c r="E215" t="s">
        <v>96</v>
      </c>
      <c r="F215" t="str">
        <f t="shared" si="0"/>
        <v xml:space="preserve">     Mayor a 500 SMLMV </v>
      </c>
    </row>
    <row r="216" spans="1:8" ht="21" x14ac:dyDescent="0.35">
      <c r="A216" s="82"/>
      <c r="B216" s="29" t="s">
        <v>57</v>
      </c>
      <c r="C216" s="29" t="s">
        <v>98</v>
      </c>
      <c r="D216" t="s">
        <v>57</v>
      </c>
      <c r="F216" t="str">
        <f t="shared" si="0"/>
        <v>Pérdida Reputacional</v>
      </c>
    </row>
    <row r="217" spans="1:8" ht="21" x14ac:dyDescent="0.35">
      <c r="A217" s="82"/>
      <c r="B217" s="29" t="s">
        <v>57</v>
      </c>
      <c r="C217" s="29" t="s">
        <v>100</v>
      </c>
      <c r="E217" t="s">
        <v>97</v>
      </c>
      <c r="F217" t="str">
        <f t="shared" si="0"/>
        <v xml:space="preserve">     El riesgo afecta la imagen de alguna área de la organización</v>
      </c>
    </row>
    <row r="218" spans="1:8" ht="21" x14ac:dyDescent="0.35">
      <c r="A218" s="82"/>
      <c r="B218" s="29" t="s">
        <v>57</v>
      </c>
      <c r="C218" s="29" t="s">
        <v>99</v>
      </c>
      <c r="E218" t="s">
        <v>98</v>
      </c>
      <c r="F218" t="str">
        <f t="shared" si="0"/>
        <v xml:space="preserve">     El riesgo afecta la imagen de la entidad internamente, de conocimiento general, nivel interno, de junta dircetiva y accionistas y/o de provedores</v>
      </c>
    </row>
    <row r="219" spans="1:8" ht="21" x14ac:dyDescent="0.35">
      <c r="A219" s="82"/>
      <c r="B219" s="29" t="s">
        <v>57</v>
      </c>
      <c r="C219" s="29" t="s">
        <v>118</v>
      </c>
      <c r="E219" t="s">
        <v>100</v>
      </c>
      <c r="F219" t="str">
        <f t="shared" si="0"/>
        <v xml:space="preserve">     El riesgo afecta la imagen de la entidad con algunos usuarios de relevancia frente al logro de los objetivos</v>
      </c>
    </row>
    <row r="220" spans="1:8" x14ac:dyDescent="0.25">
      <c r="A220" s="82"/>
      <c r="B220" s="30"/>
      <c r="C220" s="30"/>
      <c r="E220" t="s">
        <v>99</v>
      </c>
      <c r="F220" t="str">
        <f t="shared" si="0"/>
        <v xml:space="preserve">     El riesgo afecta la imagen de de la entidad con efecto publicitario sostenido a nivel de sector administrativo, nivel departamental o municipal</v>
      </c>
    </row>
    <row r="221" spans="1:8" x14ac:dyDescent="0.25">
      <c r="A221" s="82"/>
      <c r="B221" s="30" t="e" cm="1">
        <f t="array" aca="1" ref="B221:B223" ca="1">_xlfn.UNIQUE(Tabla1[[#All],[Criterios]])</f>
        <v>#NAME?</v>
      </c>
      <c r="C221" s="30"/>
      <c r="E221" t="s">
        <v>118</v>
      </c>
      <c r="F221" t="str">
        <f t="shared" si="0"/>
        <v xml:space="preserve">     El riesgo afecta la imagen de la entidad a nivel nacional, con efecto publicitarios sostenible a nivel país</v>
      </c>
    </row>
    <row r="222" spans="1:8" x14ac:dyDescent="0.25">
      <c r="A222" s="82"/>
      <c r="B222" s="30" t="e">
        <f ca="1"/>
        <v>#NAME?</v>
      </c>
      <c r="C222" s="30"/>
    </row>
    <row r="223" spans="1:8" x14ac:dyDescent="0.25">
      <c r="B223" s="30" t="e">
        <f ca="1"/>
        <v>#NAME?</v>
      </c>
      <c r="C223" s="30"/>
      <c r="F223" s="33" t="s">
        <v>144</v>
      </c>
    </row>
    <row r="224" spans="1:8" x14ac:dyDescent="0.25">
      <c r="B224" s="21"/>
      <c r="C224" s="21"/>
      <c r="F224" s="33" t="s">
        <v>145</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N10" sqref="N10"/>
    </sheetView>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492" t="s">
        <v>78</v>
      </c>
      <c r="C1" s="493"/>
      <c r="D1" s="493"/>
      <c r="E1" s="493"/>
      <c r="F1" s="494"/>
    </row>
    <row r="2" spans="2:6" ht="16.5" thickBot="1" x14ac:dyDescent="0.3">
      <c r="B2" s="88"/>
      <c r="C2" s="88"/>
      <c r="D2" s="88"/>
      <c r="E2" s="88"/>
      <c r="F2" s="88"/>
    </row>
    <row r="3" spans="2:6" ht="16.5" thickBot="1" x14ac:dyDescent="0.25">
      <c r="B3" s="496" t="s">
        <v>64</v>
      </c>
      <c r="C3" s="497"/>
      <c r="D3" s="497"/>
      <c r="E3" s="100" t="s">
        <v>65</v>
      </c>
      <c r="F3" s="101" t="s">
        <v>66</v>
      </c>
    </row>
    <row r="4" spans="2:6" ht="31.5" x14ac:dyDescent="0.2">
      <c r="B4" s="498" t="s">
        <v>67</v>
      </c>
      <c r="C4" s="500" t="s">
        <v>13</v>
      </c>
      <c r="D4" s="89" t="s">
        <v>14</v>
      </c>
      <c r="E4" s="90" t="s">
        <v>68</v>
      </c>
      <c r="F4" s="91">
        <v>0.25</v>
      </c>
    </row>
    <row r="5" spans="2:6" ht="47.25" x14ac:dyDescent="0.2">
      <c r="B5" s="499"/>
      <c r="C5" s="501"/>
      <c r="D5" s="92" t="s">
        <v>15</v>
      </c>
      <c r="E5" s="93" t="s">
        <v>69</v>
      </c>
      <c r="F5" s="94">
        <v>0.15</v>
      </c>
    </row>
    <row r="6" spans="2:6" ht="47.25" x14ac:dyDescent="0.2">
      <c r="B6" s="499"/>
      <c r="C6" s="501"/>
      <c r="D6" s="92" t="s">
        <v>16</v>
      </c>
      <c r="E6" s="93" t="s">
        <v>70</v>
      </c>
      <c r="F6" s="94">
        <v>0.1</v>
      </c>
    </row>
    <row r="7" spans="2:6" ht="63" x14ac:dyDescent="0.2">
      <c r="B7" s="499"/>
      <c r="C7" s="501" t="s">
        <v>17</v>
      </c>
      <c r="D7" s="92" t="s">
        <v>10</v>
      </c>
      <c r="E7" s="93" t="s">
        <v>71</v>
      </c>
      <c r="F7" s="94">
        <v>0.25</v>
      </c>
    </row>
    <row r="8" spans="2:6" ht="31.5" x14ac:dyDescent="0.2">
      <c r="B8" s="499"/>
      <c r="C8" s="501"/>
      <c r="D8" s="92" t="s">
        <v>9</v>
      </c>
      <c r="E8" s="93" t="s">
        <v>72</v>
      </c>
      <c r="F8" s="94">
        <v>0.15</v>
      </c>
    </row>
    <row r="9" spans="2:6" ht="47.25" x14ac:dyDescent="0.2">
      <c r="B9" s="499" t="s">
        <v>159</v>
      </c>
      <c r="C9" s="501" t="s">
        <v>18</v>
      </c>
      <c r="D9" s="92" t="s">
        <v>19</v>
      </c>
      <c r="E9" s="93" t="s">
        <v>73</v>
      </c>
      <c r="F9" s="95" t="s">
        <v>74</v>
      </c>
    </row>
    <row r="10" spans="2:6" ht="63" x14ac:dyDescent="0.2">
      <c r="B10" s="499"/>
      <c r="C10" s="501"/>
      <c r="D10" s="92" t="s">
        <v>20</v>
      </c>
      <c r="E10" s="93" t="s">
        <v>75</v>
      </c>
      <c r="F10" s="95" t="s">
        <v>74</v>
      </c>
    </row>
    <row r="11" spans="2:6" ht="47.25" x14ac:dyDescent="0.2">
      <c r="B11" s="499"/>
      <c r="C11" s="501" t="s">
        <v>21</v>
      </c>
      <c r="D11" s="92" t="s">
        <v>22</v>
      </c>
      <c r="E11" s="93" t="s">
        <v>76</v>
      </c>
      <c r="F11" s="95" t="s">
        <v>74</v>
      </c>
    </row>
    <row r="12" spans="2:6" ht="47.25" x14ac:dyDescent="0.2">
      <c r="B12" s="499"/>
      <c r="C12" s="501"/>
      <c r="D12" s="92" t="s">
        <v>23</v>
      </c>
      <c r="E12" s="93" t="s">
        <v>77</v>
      </c>
      <c r="F12" s="95" t="s">
        <v>74</v>
      </c>
    </row>
    <row r="13" spans="2:6" ht="31.5" x14ac:dyDescent="0.2">
      <c r="B13" s="499"/>
      <c r="C13" s="501" t="s">
        <v>24</v>
      </c>
      <c r="D13" s="92" t="s">
        <v>119</v>
      </c>
      <c r="E13" s="93" t="s">
        <v>122</v>
      </c>
      <c r="F13" s="95" t="s">
        <v>74</v>
      </c>
    </row>
    <row r="14" spans="2:6" ht="32.25" thickBot="1" x14ac:dyDescent="0.25">
      <c r="B14" s="502"/>
      <c r="C14" s="503"/>
      <c r="D14" s="96" t="s">
        <v>120</v>
      </c>
      <c r="E14" s="97" t="s">
        <v>121</v>
      </c>
      <c r="F14" s="98" t="s">
        <v>74</v>
      </c>
    </row>
    <row r="15" spans="2:6" ht="49.5" customHeight="1" x14ac:dyDescent="0.2">
      <c r="B15" s="495" t="s">
        <v>156</v>
      </c>
      <c r="C15" s="495"/>
      <c r="D15" s="495"/>
      <c r="E15" s="495"/>
      <c r="F15" s="495"/>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Intructivo</vt:lpstr>
      <vt:lpstr>Mapa Institucional 2024</vt:lpstr>
      <vt:lpstr>Matriz Calor Inherente</vt:lpstr>
      <vt:lpstr>Matriz Calor Residual</vt:lpstr>
      <vt:lpstr>Tabla probabilidad</vt:lpstr>
      <vt:lpstr>Tabla Impacto</vt:lpstr>
      <vt:lpstr>Tabla Valoración controles</vt:lpstr>
      <vt:lpstr>Opciones Tratamiento</vt:lpstr>
      <vt:lpstr>Hoja1</vt:lpstr>
      <vt:lpstr>'Mapa Institucional 2024'!Área_de_impresión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Bianney Arias Quejada</cp:lastModifiedBy>
  <cp:lastPrinted>2024-01-15T21:04:34Z</cp:lastPrinted>
  <dcterms:created xsi:type="dcterms:W3CDTF">2020-03-24T23:12:47Z</dcterms:created>
  <dcterms:modified xsi:type="dcterms:W3CDTF">2024-02-01T00:11:04Z</dcterms:modified>
</cp:coreProperties>
</file>