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G:\Plan Anticorrupción y Atenc al Ciudadano PAAC\2023\Riesgos Version 5 guia DAFP\CORRUPCION\PUBLICAR PAGINA\"/>
    </mc:Choice>
  </mc:AlternateContent>
  <bookViews>
    <workbookView xWindow="0" yWindow="0" windowWidth="28800" windowHeight="13320" firstSheet="1" activeTab="1"/>
  </bookViews>
  <sheets>
    <sheet name="Intructivo" sheetId="20" state="hidden" r:id="rId1"/>
    <sheet name="Mapa Instituc Corrupc 2023" sheetId="1" r:id="rId2"/>
    <sheet name="Matriz Calor Inherente" sheetId="18" state="hidden" r:id="rId3"/>
    <sheet name="Matriz Calor Residual" sheetId="19" state="hidden" r:id="rId4"/>
    <sheet name="Tabla probabilidad" sheetId="12" state="hidden" r:id="rId5"/>
    <sheet name="Tabla Impacto" sheetId="13" state="hidden" r:id="rId6"/>
    <sheet name="Tabla Valoración controles" sheetId="15" state="hidden" r:id="rId7"/>
    <sheet name="Opciones Tratamiento" sheetId="16" state="hidden" r:id="rId8"/>
    <sheet name="Hoja1" sheetId="11" state="hidden" r:id="rId9"/>
  </sheets>
  <externalReferences>
    <externalReference r:id="rId10"/>
    <externalReference r:id="rId11"/>
    <externalReference r:id="rId12"/>
  </externalReferences>
  <calcPr calcId="162913"/>
  <pivotCaches>
    <pivotCache cacheId="0" r:id="rId13"/>
  </pivotCaches>
</workbook>
</file>

<file path=xl/calcChain.xml><?xml version="1.0" encoding="utf-8"?>
<calcChain xmlns="http://schemas.openxmlformats.org/spreadsheetml/2006/main">
  <c r="L231" i="1" l="1"/>
  <c r="L216" i="1"/>
  <c r="L210" i="1"/>
  <c r="L150" i="1" l="1"/>
  <c r="N150" i="1" s="1"/>
  <c r="L80" i="1"/>
  <c r="N80" i="1" s="1"/>
  <c r="L165" i="1"/>
  <c r="M150" i="1" l="1"/>
  <c r="AB150" i="1" s="1"/>
  <c r="AA150" i="1" s="1"/>
  <c r="X235" i="1" l="1"/>
  <c r="X234" i="1"/>
  <c r="X233" i="1"/>
  <c r="T231" i="1"/>
  <c r="Q231" i="1"/>
  <c r="X231" i="1" s="1"/>
  <c r="I231" i="1"/>
  <c r="H231" i="1"/>
  <c r="K236" i="1"/>
  <c r="K235" i="1"/>
  <c r="K233" i="1"/>
  <c r="K234" i="1"/>
  <c r="K232" i="1"/>
  <c r="Z231" i="1" l="1"/>
  <c r="Y231" i="1"/>
  <c r="X236" i="1"/>
  <c r="X232" i="1"/>
  <c r="K231" i="1" l="1"/>
  <c r="M231" i="1" l="1"/>
  <c r="AB231" i="1" s="1"/>
  <c r="AA231" i="1" s="1"/>
  <c r="AC231" i="1" s="1"/>
  <c r="N231" i="1"/>
  <c r="X221" i="1" l="1"/>
  <c r="X219" i="1"/>
  <c r="X218" i="1"/>
  <c r="T216" i="1"/>
  <c r="Q216" i="1"/>
  <c r="X217" i="1" s="1"/>
  <c r="H216" i="1"/>
  <c r="I216" i="1" s="1"/>
  <c r="X216" i="1" s="1"/>
  <c r="X215" i="1"/>
  <c r="X213" i="1"/>
  <c r="X214" i="1"/>
  <c r="X212" i="1"/>
  <c r="T210" i="1"/>
  <c r="Q210" i="1"/>
  <c r="X211" i="1" s="1"/>
  <c r="H210" i="1"/>
  <c r="K218" i="1"/>
  <c r="K217" i="1"/>
  <c r="K215" i="1"/>
  <c r="K211" i="1"/>
  <c r="K212" i="1"/>
  <c r="K220" i="1"/>
  <c r="K214" i="1"/>
  <c r="K219" i="1"/>
  <c r="K221" i="1"/>
  <c r="K213" i="1"/>
  <c r="Z216" i="1" l="1"/>
  <c r="Y216" i="1"/>
  <c r="I210" i="1"/>
  <c r="X210" i="1" s="1"/>
  <c r="X220" i="1"/>
  <c r="Z210" i="1" l="1"/>
  <c r="Y210" i="1"/>
  <c r="K216" i="1" l="1"/>
  <c r="K210" i="1"/>
  <c r="M210" i="1" l="1"/>
  <c r="AB210" i="1" s="1"/>
  <c r="AA210" i="1" s="1"/>
  <c r="AC210" i="1" s="1"/>
  <c r="N210" i="1"/>
  <c r="M216" i="1"/>
  <c r="AB216" i="1" s="1"/>
  <c r="AA216" i="1" s="1"/>
  <c r="AC216" i="1" s="1"/>
  <c r="N216" i="1"/>
  <c r="T200" i="1" l="1"/>
  <c r="Q200" i="1"/>
  <c r="AB200" i="1" s="1"/>
  <c r="AA200" i="1" s="1"/>
  <c r="T199" i="1"/>
  <c r="Q199" i="1"/>
  <c r="T198" i="1"/>
  <c r="Q198" i="1"/>
  <c r="AB199" i="1" s="1"/>
  <c r="AA199" i="1" s="1"/>
  <c r="T197" i="1"/>
  <c r="Q197" i="1"/>
  <c r="X197" i="1" s="1"/>
  <c r="T195" i="1"/>
  <c r="Q195" i="1"/>
  <c r="X195" i="1" s="1"/>
  <c r="I195" i="1"/>
  <c r="H195" i="1"/>
  <c r="K197" i="1"/>
  <c r="K200" i="1"/>
  <c r="K198" i="1"/>
  <c r="K199" i="1"/>
  <c r="K196" i="1"/>
  <c r="X200" i="1" l="1"/>
  <c r="Z200" i="1" s="1"/>
  <c r="Y195" i="1"/>
  <c r="Z195" i="1"/>
  <c r="Z197" i="1"/>
  <c r="Y197" i="1"/>
  <c r="X198" i="1"/>
  <c r="X199" i="1"/>
  <c r="X196" i="1"/>
  <c r="AB197" i="1"/>
  <c r="AA197" i="1" s="1"/>
  <c r="AB198" i="1"/>
  <c r="AA198" i="1" s="1"/>
  <c r="Y200" i="1" l="1"/>
  <c r="AC200" i="1" s="1"/>
  <c r="Y198" i="1"/>
  <c r="AC198" i="1" s="1"/>
  <c r="Z198" i="1"/>
  <c r="AC197" i="1"/>
  <c r="Z199" i="1"/>
  <c r="Y199" i="1"/>
  <c r="AC199" i="1" s="1"/>
  <c r="K195" i="1" l="1"/>
  <c r="L195" i="1" s="1"/>
  <c r="M195" i="1" l="1"/>
  <c r="AB195" i="1" s="1"/>
  <c r="AA195" i="1" s="1"/>
  <c r="AC195" i="1" s="1"/>
  <c r="N195" i="1"/>
  <c r="T185" i="1" l="1"/>
  <c r="Q185" i="1"/>
  <c r="T184" i="1"/>
  <c r="Q184" i="1"/>
  <c r="AB185" i="1" s="1"/>
  <c r="AA185" i="1" s="1"/>
  <c r="T183" i="1"/>
  <c r="Q183" i="1"/>
  <c r="AB184" i="1" s="1"/>
  <c r="AA184" i="1" s="1"/>
  <c r="T182" i="1"/>
  <c r="Q182" i="1"/>
  <c r="AB183" i="1" s="1"/>
  <c r="AA183" i="1" s="1"/>
  <c r="T181" i="1"/>
  <c r="Q181" i="1"/>
  <c r="T180" i="1"/>
  <c r="Q180" i="1"/>
  <c r="H180" i="1"/>
  <c r="K182" i="1"/>
  <c r="K185" i="1"/>
  <c r="K183" i="1"/>
  <c r="K181" i="1"/>
  <c r="K184" i="1"/>
  <c r="AB182" i="1" l="1"/>
  <c r="AA182" i="1" s="1"/>
  <c r="X182" i="1"/>
  <c r="X183" i="1"/>
  <c r="I180" i="1"/>
  <c r="X184" i="1"/>
  <c r="X185" i="1"/>
  <c r="Z185" i="1" l="1"/>
  <c r="Y185" i="1"/>
  <c r="AC185" i="1" s="1"/>
  <c r="Z184" i="1"/>
  <c r="Y184" i="1"/>
  <c r="AC184" i="1" s="1"/>
  <c r="X180" i="1"/>
  <c r="X181" i="1"/>
  <c r="Z183" i="1"/>
  <c r="Y183" i="1"/>
  <c r="AC183" i="1" s="1"/>
  <c r="Z182" i="1"/>
  <c r="Y182" i="1"/>
  <c r="AC182" i="1" s="1"/>
  <c r="Z181" i="1" l="1"/>
  <c r="Y181" i="1"/>
  <c r="Y180" i="1"/>
  <c r="Z180" i="1"/>
  <c r="K180" i="1" l="1"/>
  <c r="L180" i="1" s="1"/>
  <c r="M180" i="1" l="1"/>
  <c r="N180" i="1"/>
  <c r="AB180" i="1" l="1"/>
  <c r="AA180" i="1" s="1"/>
  <c r="AC180" i="1" s="1"/>
  <c r="AB181" i="1"/>
  <c r="AA181" i="1" s="1"/>
  <c r="AC181" i="1" s="1"/>
  <c r="T170" i="1" l="1"/>
  <c r="Q170" i="1"/>
  <c r="T169" i="1"/>
  <c r="Q169" i="1"/>
  <c r="T168" i="1"/>
  <c r="Q168" i="1"/>
  <c r="AB169" i="1" s="1"/>
  <c r="AA169" i="1" s="1"/>
  <c r="T167" i="1"/>
  <c r="Q167" i="1"/>
  <c r="X168" i="1" s="1"/>
  <c r="Z168" i="1" s="1"/>
  <c r="T166" i="1"/>
  <c r="Q166" i="1"/>
  <c r="X167" i="1" s="1"/>
  <c r="T165" i="1"/>
  <c r="Q165" i="1"/>
  <c r="H165" i="1"/>
  <c r="I165" i="1" s="1"/>
  <c r="K169" i="1"/>
  <c r="K166" i="1"/>
  <c r="K168" i="1"/>
  <c r="K167" i="1"/>
  <c r="K170" i="1"/>
  <c r="AB170" i="1" l="1"/>
  <c r="AA170" i="1" s="1"/>
  <c r="AB168" i="1"/>
  <c r="AA168" i="1" s="1"/>
  <c r="X166" i="1"/>
  <c r="Z167" i="1"/>
  <c r="Y167" i="1"/>
  <c r="Y168" i="1"/>
  <c r="X169" i="1"/>
  <c r="X170" i="1"/>
  <c r="AB167" i="1"/>
  <c r="AA167" i="1" s="1"/>
  <c r="X165" i="1"/>
  <c r="AC168" i="1" l="1"/>
  <c r="Y166" i="1"/>
  <c r="Z166" i="1"/>
  <c r="Z165" i="1"/>
  <c r="Y165" i="1"/>
  <c r="AC167" i="1"/>
  <c r="Z170" i="1"/>
  <c r="Y170" i="1"/>
  <c r="AC170" i="1" s="1"/>
  <c r="Z169" i="1"/>
  <c r="Y169" i="1"/>
  <c r="AC169" i="1" s="1"/>
  <c r="K165" i="1" l="1"/>
  <c r="M165" i="1" l="1"/>
  <c r="N165" i="1"/>
  <c r="AB165" i="1" l="1"/>
  <c r="AA165" i="1" s="1"/>
  <c r="AC165" i="1" s="1"/>
  <c r="AB166" i="1"/>
  <c r="AA166" i="1" s="1"/>
  <c r="AC166" i="1" s="1"/>
  <c r="Y150" i="1" l="1"/>
  <c r="Z150" i="1"/>
  <c r="Y80" i="1"/>
  <c r="Z80" i="1"/>
  <c r="T150" i="1"/>
  <c r="X153" i="1"/>
  <c r="X152" i="1"/>
  <c r="Q150" i="1"/>
  <c r="I150" i="1"/>
  <c r="H150" i="1"/>
  <c r="K154" i="1"/>
  <c r="K155" i="1"/>
  <c r="K151" i="1"/>
  <c r="K153" i="1"/>
  <c r="K152" i="1"/>
  <c r="X154" i="1" l="1"/>
  <c r="X155" i="1"/>
  <c r="X151" i="1"/>
  <c r="K150" i="1" l="1"/>
  <c r="AC150" i="1" l="1"/>
  <c r="T139" i="1" l="1"/>
  <c r="Q139" i="1"/>
  <c r="T138" i="1"/>
  <c r="Q138" i="1"/>
  <c r="T137" i="1"/>
  <c r="Q137" i="1"/>
  <c r="AB138" i="1" s="1"/>
  <c r="AA138" i="1" s="1"/>
  <c r="T136" i="1"/>
  <c r="Q136" i="1"/>
  <c r="X137" i="1" s="1"/>
  <c r="Z137" i="1" s="1"/>
  <c r="X135" i="1"/>
  <c r="Y135" i="1" s="1"/>
  <c r="T135" i="1"/>
  <c r="Q135" i="1"/>
  <c r="X136" i="1" s="1"/>
  <c r="X134" i="1"/>
  <c r="Z134" i="1" s="1"/>
  <c r="T134" i="1"/>
  <c r="Q134" i="1"/>
  <c r="AB135" i="1" s="1"/>
  <c r="AA135" i="1" s="1"/>
  <c r="I134" i="1"/>
  <c r="H134" i="1"/>
  <c r="T133" i="1"/>
  <c r="Q133" i="1"/>
  <c r="T132" i="1"/>
  <c r="Q132" i="1"/>
  <c r="X133" i="1" s="1"/>
  <c r="AB131" i="1"/>
  <c r="AA131" i="1" s="1"/>
  <c r="Z131" i="1"/>
  <c r="Y131" i="1"/>
  <c r="X131" i="1"/>
  <c r="T131" i="1"/>
  <c r="Q131" i="1"/>
  <c r="T130" i="1"/>
  <c r="Q130" i="1"/>
  <c r="T129" i="1"/>
  <c r="Q129" i="1"/>
  <c r="X130" i="1" s="1"/>
  <c r="T128" i="1"/>
  <c r="Q128" i="1"/>
  <c r="H128" i="1"/>
  <c r="I128" i="1" s="1"/>
  <c r="T127" i="1"/>
  <c r="Q127" i="1"/>
  <c r="T126" i="1"/>
  <c r="Q126" i="1"/>
  <c r="AB127" i="1" s="1"/>
  <c r="AA127" i="1" s="1"/>
  <c r="T125" i="1"/>
  <c r="Q125" i="1"/>
  <c r="T124" i="1"/>
  <c r="Q124" i="1"/>
  <c r="AB125" i="1" s="1"/>
  <c r="AA125" i="1" s="1"/>
  <c r="T123" i="1"/>
  <c r="Q123" i="1"/>
  <c r="AB124" i="1" s="1"/>
  <c r="AA124" i="1" s="1"/>
  <c r="T122" i="1"/>
  <c r="Q122" i="1"/>
  <c r="X123" i="1" s="1"/>
  <c r="Z123" i="1" s="1"/>
  <c r="I122" i="1"/>
  <c r="H122" i="1"/>
  <c r="T121" i="1"/>
  <c r="Q121" i="1"/>
  <c r="X121" i="1" s="1"/>
  <c r="T120" i="1"/>
  <c r="Q120" i="1"/>
  <c r="T119" i="1"/>
  <c r="Q119" i="1"/>
  <c r="AB120" i="1" s="1"/>
  <c r="AA120" i="1" s="1"/>
  <c r="T118" i="1"/>
  <c r="Q118" i="1"/>
  <c r="X119" i="1" s="1"/>
  <c r="T117" i="1"/>
  <c r="Q117" i="1"/>
  <c r="X116" i="1"/>
  <c r="Z116" i="1" s="1"/>
  <c r="T116" i="1"/>
  <c r="Q116" i="1"/>
  <c r="X117" i="1" s="1"/>
  <c r="I116" i="1"/>
  <c r="H116" i="1"/>
  <c r="T115" i="1"/>
  <c r="Q115" i="1"/>
  <c r="T114" i="1"/>
  <c r="Q114" i="1"/>
  <c r="AB113" i="1"/>
  <c r="AA113" i="1" s="1"/>
  <c r="T113" i="1"/>
  <c r="Q113" i="1"/>
  <c r="X114" i="1" s="1"/>
  <c r="T112" i="1"/>
  <c r="Q112" i="1"/>
  <c r="X113" i="1" s="1"/>
  <c r="T111" i="1"/>
  <c r="Q111" i="1"/>
  <c r="T110" i="1"/>
  <c r="Q110" i="1"/>
  <c r="AB111" i="1" s="1"/>
  <c r="AA111" i="1" s="1"/>
  <c r="H110" i="1"/>
  <c r="I110" i="1" s="1"/>
  <c r="T109" i="1"/>
  <c r="Q109" i="1"/>
  <c r="T108" i="1"/>
  <c r="Q108" i="1"/>
  <c r="AB109" i="1" s="1"/>
  <c r="AA109" i="1" s="1"/>
  <c r="T107" i="1"/>
  <c r="Q107" i="1"/>
  <c r="AB108" i="1" s="1"/>
  <c r="AA108" i="1" s="1"/>
  <c r="X106" i="1"/>
  <c r="Z106" i="1" s="1"/>
  <c r="T106" i="1"/>
  <c r="Q106" i="1"/>
  <c r="X105" i="1"/>
  <c r="Z105" i="1" s="1"/>
  <c r="T105" i="1"/>
  <c r="Q105" i="1"/>
  <c r="Z104" i="1"/>
  <c r="Y104" i="1"/>
  <c r="X104" i="1"/>
  <c r="T104" i="1"/>
  <c r="Q104" i="1"/>
  <c r="AB105" i="1" s="1"/>
  <c r="AA105" i="1" s="1"/>
  <c r="I104" i="1"/>
  <c r="H104" i="1"/>
  <c r="T103" i="1"/>
  <c r="Q103" i="1"/>
  <c r="T102" i="1"/>
  <c r="Q102" i="1"/>
  <c r="X103" i="1" s="1"/>
  <c r="Z103" i="1" s="1"/>
  <c r="T101" i="1"/>
  <c r="Q101" i="1"/>
  <c r="AB102" i="1" s="1"/>
  <c r="AA102" i="1" s="1"/>
  <c r="T100" i="1"/>
  <c r="Q100" i="1"/>
  <c r="AB101" i="1" s="1"/>
  <c r="AA101" i="1" s="1"/>
  <c r="AB99" i="1"/>
  <c r="AA99" i="1" s="1"/>
  <c r="T99" i="1"/>
  <c r="Q99" i="1"/>
  <c r="AB100" i="1" s="1"/>
  <c r="AA100" i="1" s="1"/>
  <c r="AB98" i="1"/>
  <c r="AA98" i="1" s="1"/>
  <c r="T98" i="1"/>
  <c r="Q98" i="1"/>
  <c r="H98" i="1"/>
  <c r="I98" i="1" s="1"/>
  <c r="T97" i="1"/>
  <c r="Q97" i="1"/>
  <c r="AB96" i="1"/>
  <c r="AA96" i="1" s="1"/>
  <c r="T96" i="1"/>
  <c r="Q96" i="1"/>
  <c r="AB97" i="1" s="1"/>
  <c r="AA97" i="1" s="1"/>
  <c r="T95" i="1"/>
  <c r="Q95" i="1"/>
  <c r="T94" i="1"/>
  <c r="Q94" i="1"/>
  <c r="AB95" i="1" s="1"/>
  <c r="AA95" i="1" s="1"/>
  <c r="T93" i="1"/>
  <c r="Q93" i="1"/>
  <c r="AB94" i="1" s="1"/>
  <c r="AA94" i="1" s="1"/>
  <c r="X92" i="1"/>
  <c r="Z92" i="1" s="1"/>
  <c r="T92" i="1"/>
  <c r="Q92" i="1"/>
  <c r="H92" i="1"/>
  <c r="T91" i="1"/>
  <c r="Q91" i="1"/>
  <c r="T90" i="1"/>
  <c r="Q90" i="1"/>
  <c r="AB91" i="1" s="1"/>
  <c r="AA91" i="1" s="1"/>
  <c r="X89" i="1"/>
  <c r="Z89" i="1" s="1"/>
  <c r="T89" i="1"/>
  <c r="Q89" i="1"/>
  <c r="X88" i="1"/>
  <c r="Z88" i="1" s="1"/>
  <c r="T88" i="1"/>
  <c r="Q88" i="1"/>
  <c r="X87" i="1"/>
  <c r="AB86" i="1"/>
  <c r="AA86" i="1" s="1"/>
  <c r="Z86" i="1"/>
  <c r="Y86" i="1"/>
  <c r="X86" i="1"/>
  <c r="T86" i="1"/>
  <c r="I86" i="1"/>
  <c r="H86" i="1"/>
  <c r="X85" i="1"/>
  <c r="X84" i="1"/>
  <c r="X83" i="1"/>
  <c r="X82" i="1"/>
  <c r="T80" i="1"/>
  <c r="Q80" i="1"/>
  <c r="H80" i="1"/>
  <c r="I80" i="1" s="1"/>
  <c r="K129" i="1"/>
  <c r="K87" i="1"/>
  <c r="K117" i="1"/>
  <c r="K118" i="1"/>
  <c r="K114" i="1"/>
  <c r="K100" i="1"/>
  <c r="K136" i="1"/>
  <c r="K109" i="1"/>
  <c r="K125" i="1"/>
  <c r="K88" i="1"/>
  <c r="K83" i="1"/>
  <c r="K108" i="1"/>
  <c r="K126" i="1"/>
  <c r="K124" i="1"/>
  <c r="K113" i="1"/>
  <c r="K82" i="1"/>
  <c r="K123" i="1"/>
  <c r="K97" i="1"/>
  <c r="K138" i="1"/>
  <c r="K95" i="1"/>
  <c r="K93" i="1"/>
  <c r="K94" i="1"/>
  <c r="K96" i="1"/>
  <c r="K115" i="1"/>
  <c r="K137" i="1"/>
  <c r="K105" i="1"/>
  <c r="K119" i="1"/>
  <c r="K81" i="1"/>
  <c r="K111" i="1"/>
  <c r="K133" i="1"/>
  <c r="K132" i="1"/>
  <c r="K89" i="1"/>
  <c r="K90" i="1"/>
  <c r="K102" i="1"/>
  <c r="K91" i="1"/>
  <c r="K130" i="1"/>
  <c r="K112" i="1"/>
  <c r="K99" i="1"/>
  <c r="K85" i="1"/>
  <c r="K135" i="1"/>
  <c r="K84" i="1"/>
  <c r="K101" i="1"/>
  <c r="K107" i="1"/>
  <c r="K106" i="1"/>
  <c r="K127" i="1"/>
  <c r="K139" i="1"/>
  <c r="K131" i="1"/>
  <c r="K121" i="1"/>
  <c r="K120" i="1"/>
  <c r="K103" i="1"/>
  <c r="AB139" i="1" l="1"/>
  <c r="AA139" i="1" s="1"/>
  <c r="Z114" i="1"/>
  <c r="Y114" i="1"/>
  <c r="Z133" i="1"/>
  <c r="Y133" i="1"/>
  <c r="Z136" i="1"/>
  <c r="Y136" i="1"/>
  <c r="Z119" i="1"/>
  <c r="Y119" i="1"/>
  <c r="Y117" i="1"/>
  <c r="Z117" i="1"/>
  <c r="X101" i="1"/>
  <c r="AB115" i="1"/>
  <c r="AA115" i="1" s="1"/>
  <c r="AB89" i="1"/>
  <c r="AA89" i="1" s="1"/>
  <c r="X99" i="1"/>
  <c r="X100" i="1"/>
  <c r="AB106" i="1"/>
  <c r="AA106" i="1" s="1"/>
  <c r="AB112" i="1"/>
  <c r="AA112" i="1" s="1"/>
  <c r="X115" i="1"/>
  <c r="Y116" i="1"/>
  <c r="Y134" i="1"/>
  <c r="Z135" i="1"/>
  <c r="AC131" i="1"/>
  <c r="AB117" i="1"/>
  <c r="AA117" i="1" s="1"/>
  <c r="AB137" i="1"/>
  <c r="AA137" i="1" s="1"/>
  <c r="X97" i="1"/>
  <c r="AB103" i="1"/>
  <c r="AA103" i="1" s="1"/>
  <c r="AB116" i="1"/>
  <c r="AA116" i="1" s="1"/>
  <c r="AC116" i="1" s="1"/>
  <c r="AB119" i="1"/>
  <c r="AA119" i="1" s="1"/>
  <c r="AB123" i="1"/>
  <c r="AA123" i="1" s="1"/>
  <c r="AB130" i="1"/>
  <c r="AA130" i="1" s="1"/>
  <c r="AB133" i="1"/>
  <c r="AA133" i="1" s="1"/>
  <c r="AC133" i="1" s="1"/>
  <c r="Y88" i="1"/>
  <c r="X96" i="1"/>
  <c r="Y105" i="1"/>
  <c r="AB118" i="1"/>
  <c r="AA118" i="1" s="1"/>
  <c r="AB121" i="1"/>
  <c r="AA121" i="1" s="1"/>
  <c r="AB126" i="1"/>
  <c r="AA126" i="1" s="1"/>
  <c r="AB132" i="1"/>
  <c r="AA132" i="1" s="1"/>
  <c r="AB134" i="1"/>
  <c r="AA134" i="1" s="1"/>
  <c r="X138" i="1"/>
  <c r="Z138" i="1" s="1"/>
  <c r="AB90" i="1"/>
  <c r="AA90" i="1" s="1"/>
  <c r="AB93" i="1"/>
  <c r="AA93" i="1" s="1"/>
  <c r="X102" i="1"/>
  <c r="AB107" i="1"/>
  <c r="AA107" i="1" s="1"/>
  <c r="X118" i="1"/>
  <c r="X122" i="1"/>
  <c r="AB129" i="1"/>
  <c r="AA129" i="1" s="1"/>
  <c r="X132" i="1"/>
  <c r="AB136" i="1"/>
  <c r="AA136" i="1" s="1"/>
  <c r="AC136" i="1" s="1"/>
  <c r="AB114" i="1"/>
  <c r="AA114" i="1" s="1"/>
  <c r="X120" i="1"/>
  <c r="Z120" i="1" s="1"/>
  <c r="X127" i="1"/>
  <c r="Z127" i="1" s="1"/>
  <c r="Z121" i="1"/>
  <c r="Y121" i="1"/>
  <c r="Z130" i="1"/>
  <c r="Y130" i="1"/>
  <c r="AC135" i="1"/>
  <c r="Z113" i="1"/>
  <c r="Y113" i="1"/>
  <c r="AC113" i="1" s="1"/>
  <c r="Z99" i="1"/>
  <c r="Y99" i="1"/>
  <c r="AC99" i="1" s="1"/>
  <c r="Z96" i="1"/>
  <c r="Y96" i="1"/>
  <c r="AC96" i="1" s="1"/>
  <c r="AC105" i="1"/>
  <c r="AC86" i="1"/>
  <c r="Y127" i="1"/>
  <c r="AC127" i="1" s="1"/>
  <c r="Y89" i="1"/>
  <c r="I92" i="1"/>
  <c r="Y92" i="1"/>
  <c r="X93" i="1"/>
  <c r="Y103" i="1"/>
  <c r="AC103" i="1" s="1"/>
  <c r="Y106" i="1"/>
  <c r="X107" i="1"/>
  <c r="X110" i="1"/>
  <c r="Y120" i="1"/>
  <c r="AC120" i="1" s="1"/>
  <c r="Y123" i="1"/>
  <c r="X124" i="1"/>
  <c r="Y137" i="1"/>
  <c r="X80" i="1"/>
  <c r="X90" i="1"/>
  <c r="X91" i="1"/>
  <c r="X94" i="1"/>
  <c r="AB104" i="1"/>
  <c r="AA104" i="1" s="1"/>
  <c r="AC104" i="1" s="1"/>
  <c r="X108" i="1"/>
  <c r="X111" i="1"/>
  <c r="X125" i="1"/>
  <c r="X128" i="1"/>
  <c r="X139" i="1"/>
  <c r="AB88" i="1"/>
  <c r="AA88" i="1" s="1"/>
  <c r="X95" i="1"/>
  <c r="X98" i="1"/>
  <c r="X109" i="1"/>
  <c r="X112" i="1"/>
  <c r="AB122" i="1"/>
  <c r="AA122" i="1" s="1"/>
  <c r="X126" i="1"/>
  <c r="X129" i="1"/>
  <c r="X81" i="1"/>
  <c r="AB92" i="1"/>
  <c r="AA92" i="1" s="1"/>
  <c r="AB110" i="1"/>
  <c r="AA110" i="1" s="1"/>
  <c r="AB128" i="1"/>
  <c r="AA128" i="1" s="1"/>
  <c r="AC123" i="1" l="1"/>
  <c r="AC121" i="1"/>
  <c r="AC89" i="1"/>
  <c r="AC130" i="1"/>
  <c r="AC88" i="1"/>
  <c r="AC119" i="1"/>
  <c r="Z100" i="1"/>
  <c r="Y100" i="1"/>
  <c r="AC100" i="1" s="1"/>
  <c r="Z122" i="1"/>
  <c r="Y122" i="1"/>
  <c r="Y118" i="1"/>
  <c r="AC118" i="1" s="1"/>
  <c r="Z118" i="1"/>
  <c r="AC134" i="1"/>
  <c r="Z102" i="1"/>
  <c r="Y102" i="1"/>
  <c r="AC102" i="1" s="1"/>
  <c r="Z101" i="1"/>
  <c r="Y101" i="1"/>
  <c r="AC101" i="1" s="1"/>
  <c r="Y132" i="1"/>
  <c r="AC132" i="1" s="1"/>
  <c r="Z132" i="1"/>
  <c r="AC137" i="1"/>
  <c r="Z115" i="1"/>
  <c r="Y115" i="1"/>
  <c r="AC115" i="1" s="1"/>
  <c r="AC114" i="1"/>
  <c r="AC122" i="1"/>
  <c r="Y138" i="1"/>
  <c r="AC138" i="1" s="1"/>
  <c r="AC106" i="1"/>
  <c r="Y97" i="1"/>
  <c r="AC97" i="1" s="1"/>
  <c r="Z97" i="1"/>
  <c r="AC117" i="1"/>
  <c r="Z94" i="1"/>
  <c r="Y94" i="1"/>
  <c r="AC94" i="1" s="1"/>
  <c r="Z110" i="1"/>
  <c r="Y110" i="1"/>
  <c r="AC110" i="1" s="1"/>
  <c r="Z129" i="1"/>
  <c r="Y129" i="1"/>
  <c r="AC129" i="1" s="1"/>
  <c r="Z139" i="1"/>
  <c r="Y139" i="1"/>
  <c r="AC139" i="1" s="1"/>
  <c r="Z91" i="1"/>
  <c r="Y91" i="1"/>
  <c r="AC91" i="1" s="1"/>
  <c r="Z107" i="1"/>
  <c r="Y107" i="1"/>
  <c r="AC107" i="1" s="1"/>
  <c r="Z126" i="1"/>
  <c r="Y126" i="1"/>
  <c r="AC126" i="1" s="1"/>
  <c r="Z90" i="1"/>
  <c r="Y90" i="1"/>
  <c r="AC90" i="1" s="1"/>
  <c r="Z95" i="1"/>
  <c r="Y95" i="1"/>
  <c r="AC95" i="1" s="1"/>
  <c r="Z128" i="1"/>
  <c r="Y128" i="1"/>
  <c r="AC128" i="1" s="1"/>
  <c r="Z112" i="1"/>
  <c r="Y112" i="1"/>
  <c r="AC112" i="1" s="1"/>
  <c r="Z125" i="1"/>
  <c r="Y125" i="1"/>
  <c r="AC125" i="1" s="1"/>
  <c r="Z93" i="1"/>
  <c r="Y93" i="1"/>
  <c r="AC93" i="1" s="1"/>
  <c r="Z109" i="1"/>
  <c r="Y109" i="1"/>
  <c r="AC109" i="1" s="1"/>
  <c r="Z111" i="1"/>
  <c r="Y111" i="1"/>
  <c r="AC111" i="1" s="1"/>
  <c r="Z124" i="1"/>
  <c r="Y124" i="1"/>
  <c r="AC124" i="1" s="1"/>
  <c r="AC92" i="1"/>
  <c r="Z98" i="1"/>
  <c r="Y98" i="1"/>
  <c r="AC98" i="1" s="1"/>
  <c r="Z108" i="1"/>
  <c r="Y108" i="1"/>
  <c r="AC108" i="1" s="1"/>
  <c r="K86" i="1" l="1"/>
  <c r="L86" i="1" s="1"/>
  <c r="K122" i="1"/>
  <c r="L122" i="1" s="1"/>
  <c r="K104" i="1"/>
  <c r="L104" i="1" s="1"/>
  <c r="K116" i="1"/>
  <c r="L116" i="1" s="1"/>
  <c r="K98" i="1"/>
  <c r="L98" i="1" s="1"/>
  <c r="K80" i="1"/>
  <c r="K128" i="1"/>
  <c r="L128" i="1" s="1"/>
  <c r="K134" i="1"/>
  <c r="L134" i="1" s="1"/>
  <c r="K110" i="1"/>
  <c r="L110" i="1" s="1"/>
  <c r="K92" i="1"/>
  <c r="L92" i="1" s="1"/>
  <c r="M134" i="1" l="1"/>
  <c r="N134" i="1"/>
  <c r="N128" i="1"/>
  <c r="M128" i="1"/>
  <c r="M80" i="1"/>
  <c r="AB80" i="1" s="1"/>
  <c r="AA80" i="1" s="1"/>
  <c r="AC80" i="1" s="1"/>
  <c r="M98" i="1"/>
  <c r="N98" i="1"/>
  <c r="M116" i="1"/>
  <c r="N116" i="1"/>
  <c r="M104" i="1"/>
  <c r="N104" i="1"/>
  <c r="M92" i="1"/>
  <c r="N92" i="1"/>
  <c r="M122" i="1"/>
  <c r="N122" i="1"/>
  <c r="N110" i="1"/>
  <c r="M110" i="1"/>
  <c r="M86" i="1"/>
  <c r="N86" i="1"/>
  <c r="X17" i="1" l="1"/>
  <c r="T10" i="1" l="1"/>
  <c r="T16" i="1"/>
  <c r="Q10" i="1"/>
  <c r="X11" i="1" l="1"/>
  <c r="Q16" i="1"/>
  <c r="H10" i="1" l="1"/>
  <c r="I10" i="1" s="1"/>
  <c r="X10" i="1" s="1"/>
  <c r="K59" i="1"/>
  <c r="K17" i="1"/>
  <c r="K63" i="1"/>
  <c r="K38" i="1"/>
  <c r="K67" i="1"/>
  <c r="K62" i="1"/>
  <c r="K44" i="1"/>
  <c r="K33" i="1"/>
  <c r="K54" i="1"/>
  <c r="K43" i="1"/>
  <c r="K45" i="1"/>
  <c r="K37" i="1"/>
  <c r="K51" i="1"/>
  <c r="K65" i="1"/>
  <c r="K39" i="1"/>
  <c r="K60" i="1"/>
  <c r="K42" i="1"/>
  <c r="K61" i="1"/>
  <c r="K20" i="1"/>
  <c r="K25" i="1"/>
  <c r="K31" i="1"/>
  <c r="K27" i="1"/>
  <c r="K32" i="1"/>
  <c r="K66" i="1"/>
  <c r="K36" i="1"/>
  <c r="K29" i="1"/>
  <c r="K35" i="1"/>
  <c r="K69" i="1"/>
  <c r="K21" i="1"/>
  <c r="K57" i="1"/>
  <c r="K53" i="1"/>
  <c r="K23" i="1"/>
  <c r="K48" i="1"/>
  <c r="K50" i="1"/>
  <c r="K19" i="1"/>
  <c r="K30" i="1"/>
  <c r="K41" i="1"/>
  <c r="K24" i="1"/>
  <c r="K26" i="1"/>
  <c r="K68" i="1"/>
  <c r="K47" i="1"/>
  <c r="K18" i="1"/>
  <c r="K55" i="1"/>
  <c r="K56" i="1"/>
  <c r="K49" i="1"/>
  <c r="Z10" i="1" l="1"/>
  <c r="Y10" i="1"/>
  <c r="F221" i="13"/>
  <c r="F211" i="13"/>
  <c r="F212" i="13"/>
  <c r="F213" i="13"/>
  <c r="F214" i="13"/>
  <c r="F215" i="13"/>
  <c r="F216" i="13"/>
  <c r="F217" i="13"/>
  <c r="F218" i="13"/>
  <c r="F219" i="13"/>
  <c r="F220" i="13"/>
  <c r="F210" i="13"/>
  <c r="K13" i="1"/>
  <c r="K12" i="1"/>
  <c r="B221" i="13" a="1"/>
  <c r="K15" i="1"/>
  <c r="K11" i="1"/>
  <c r="K14"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AB65" i="1" s="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AB23" i="1" s="1"/>
  <c r="H22" i="1"/>
  <c r="I22" i="1" s="1"/>
  <c r="H16" i="1"/>
  <c r="Q15" i="1"/>
  <c r="Q14" i="1"/>
  <c r="Q13" i="1"/>
  <c r="T21" i="1"/>
  <c r="Q21" i="1"/>
  <c r="T20" i="1"/>
  <c r="Q20" i="1"/>
  <c r="T19" i="1"/>
  <c r="Q19" i="1"/>
  <c r="T18" i="1"/>
  <c r="Q18" i="1"/>
  <c r="AB29" i="1" l="1"/>
  <c r="AB35" i="1"/>
  <c r="AB59" i="1"/>
  <c r="AB50" i="1"/>
  <c r="AA50" i="1" s="1"/>
  <c r="AB51" i="1"/>
  <c r="AA51" i="1" s="1"/>
  <c r="I16" i="1"/>
  <c r="X16" i="1" s="1"/>
  <c r="X64" i="1"/>
  <c r="X58" i="1"/>
  <c r="X52" i="1"/>
  <c r="X46" i="1"/>
  <c r="X50" i="1"/>
  <c r="X51" i="1"/>
  <c r="X40" i="1"/>
  <c r="X34" i="1"/>
  <c r="X28" i="1"/>
  <c r="X22" i="1"/>
  <c r="Z16" i="1" l="1"/>
  <c r="Y16" i="1"/>
  <c r="Y64" i="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X18" i="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Y69" i="1" l="1"/>
  <c r="Z69" i="1"/>
  <c r="Y68" i="1"/>
  <c r="Z68" i="1"/>
  <c r="Y39" i="1"/>
  <c r="Z39" i="1"/>
  <c r="Z45" i="1"/>
  <c r="Z27" i="1"/>
  <c r="Y20" i="1"/>
  <c r="Y21" i="1"/>
  <c r="Z21" i="1"/>
  <c r="X12" i="1" l="1"/>
  <c r="Y12" i="1" s="1"/>
  <c r="Z12" i="1" l="1"/>
  <c r="X13" i="1" s="1"/>
  <c r="Z13" i="1" l="1"/>
  <c r="X14" i="1" s="1"/>
  <c r="Y14" i="1" l="1"/>
  <c r="Z14" i="1"/>
  <c r="X15" i="1" s="1"/>
  <c r="Y13" i="1"/>
  <c r="Y15" i="1" l="1"/>
  <c r="Z15" i="1"/>
  <c r="AB28" i="1" l="1"/>
  <c r="AA28" i="1" s="1"/>
  <c r="AB66" i="1"/>
  <c r="AB58" i="1"/>
  <c r="AB40" i="1"/>
  <c r="AA40" i="1" s="1"/>
  <c r="AB52" i="1"/>
  <c r="AA52" i="1" s="1"/>
  <c r="AB22" i="1"/>
  <c r="AA2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53" i="1"/>
  <c r="AB54" i="1"/>
  <c r="AA59" i="1"/>
  <c r="AB60" i="1"/>
  <c r="AA29" i="1"/>
  <c r="AB3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10" i="1"/>
  <c r="L10" i="1" s="1"/>
  <c r="K28" i="1"/>
  <c r="L28" i="1" s="1"/>
  <c r="K22" i="1"/>
  <c r="L22" i="1" s="1"/>
  <c r="K52" i="1"/>
  <c r="L52" i="1" s="1"/>
  <c r="K46" i="1"/>
  <c r="L46" i="1" s="1"/>
  <c r="K34" i="1"/>
  <c r="L34" i="1" s="1"/>
  <c r="K16" i="1"/>
  <c r="L16" i="1" s="1"/>
  <c r="N16" i="1" s="1"/>
  <c r="K64" i="1"/>
  <c r="L64" i="1" s="1"/>
  <c r="K58" i="1"/>
  <c r="L58" i="1" s="1"/>
  <c r="M16" i="1" l="1"/>
  <c r="AB16" i="1" s="1"/>
  <c r="AA16" i="1" s="1"/>
  <c r="AC16" i="1" s="1"/>
  <c r="X6" i="18"/>
  <c r="AJ30" i="18"/>
  <c r="R22" i="18"/>
  <c r="L6" i="18"/>
  <c r="R30" i="18"/>
  <c r="X22" i="18"/>
  <c r="X38" i="18"/>
  <c r="AD38" i="18"/>
  <c r="AD22" i="18"/>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N38" i="18"/>
  <c r="AL30" i="18"/>
  <c r="AL22" i="18"/>
  <c r="T6" i="18"/>
  <c r="AF14" i="18"/>
  <c r="AF30" i="18"/>
  <c r="Z22" i="18"/>
  <c r="T30" i="18"/>
  <c r="Z30" i="18"/>
  <c r="AL6" i="18"/>
  <c r="Z14" i="18"/>
  <c r="Z38" i="18"/>
  <c r="N30" i="18"/>
  <c r="J40" i="18"/>
  <c r="AB40" i="18"/>
  <c r="AH32" i="18"/>
  <c r="AB24" i="18"/>
  <c r="V16" i="18"/>
  <c r="M28" i="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A10" i="1" s="1"/>
  <c r="AC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Z40" i="18"/>
  <c r="AL8" i="18"/>
  <c r="AF8" i="18"/>
  <c r="T8" i="18"/>
  <c r="Z16" i="18"/>
  <c r="T24" i="18"/>
  <c r="AL24" i="18"/>
  <c r="Z32" i="18"/>
  <c r="N32" i="18"/>
  <c r="N16" i="18"/>
  <c r="Z8" i="18"/>
  <c r="AL40" i="18"/>
  <c r="N8" i="18"/>
  <c r="N24" i="18"/>
  <c r="T32" i="18"/>
  <c r="T16" i="18"/>
  <c r="AF40" i="18"/>
  <c r="AF16" i="18"/>
  <c r="AL32" i="18"/>
  <c r="N40" i="18"/>
  <c r="Z24" i="18"/>
  <c r="AL16" i="18"/>
  <c r="N40" i="1"/>
  <c r="AH7" i="19" l="1"/>
  <c r="V7" i="19"/>
  <c r="AB17" i="19"/>
  <c r="P47" i="19"/>
  <c r="AH37" i="19"/>
  <c r="J7" i="19"/>
  <c r="P37" i="19"/>
  <c r="AB27" i="19"/>
  <c r="P27" i="19"/>
  <c r="V37" i="19"/>
  <c r="V27" i="19"/>
  <c r="J17" i="19"/>
  <c r="AB7" i="19"/>
  <c r="AH17" i="19"/>
  <c r="V47" i="19"/>
  <c r="P17" i="19"/>
  <c r="P7" i="19"/>
  <c r="J37" i="19"/>
  <c r="V17" i="19"/>
  <c r="AH27" i="19"/>
  <c r="J47" i="19"/>
  <c r="AB37" i="19"/>
  <c r="AH47" i="19"/>
  <c r="AB47" i="19"/>
  <c r="J27" i="19"/>
  <c r="P16" i="19"/>
  <c r="P6" i="19"/>
  <c r="AH6" i="19"/>
  <c r="V46" i="19"/>
  <c r="AH46" i="19"/>
  <c r="AB46" i="19"/>
  <c r="J6" i="19"/>
  <c r="P46" i="19"/>
  <c r="AB26" i="19"/>
  <c r="AB16" i="19"/>
  <c r="AH26" i="19"/>
  <c r="J16" i="19"/>
  <c r="V26" i="19"/>
  <c r="AH36" i="19"/>
  <c r="P26" i="19"/>
  <c r="V16" i="19"/>
  <c r="V36" i="19"/>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<sst xmlns="http://schemas.openxmlformats.org/spreadsheetml/2006/main" count="799" uniqueCount="285">
  <si>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</si>
  <si>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</si>
  <si>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</si>
  <si>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</si>
  <si>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</si>
  <si>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</si>
  <si>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</si>
  <si>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</si>
  <si>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</si>
  <si>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</si>
  <si>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</si>
  <si>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</si>
  <si>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</si>
  <si>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</si>
  <si>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</si>
  <si>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</si>
  <si>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</si>
  <si>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</si>
  <si>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</si>
  <si>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</si>
  <si>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</si>
  <si>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</si>
  <si>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</si>
  <si>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</si>
  <si>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</si>
  <si>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</si>
  <si>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</si>
  <si>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</si>
  <si>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</si>
  <si>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</si>
  <si>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</si>
  <si>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</si>
  <si>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</si>
  <si>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</si>
  <si>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</si>
  <si>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</si>
  <si>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</si>
  <si>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</si>
  <si>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</si>
  <si>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</si>
  <si>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</si>
  <si>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</si>
  <si>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</si>
  <si>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</si>
  <si>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</si>
  <si>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</si>
  <si>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</si>
  <si>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</si>
  <si>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</si>
  <si>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</si>
  <si>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</si>
  <si>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</si>
  <si>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</si>
  <si>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</si>
  <si>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</si>
  <si>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</si>
  <si>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</si>
  <si>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</si>
  <si>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</si>
  <si>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</si>
  <si>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</si>
  <si>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</si>
  <si>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</si>
  <si>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</si>
  <si>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</si>
  <si>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</si>
  <si>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</si>
  <si>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</si>
  <si>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</si>
  <si>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</si>
  <si>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</si>
  <si>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</si>
  <si>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</si>
  <si>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</si>
  <si>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</si>
  <si>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</si>
  <si>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</si>
  <si>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</si>
  <si>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</si>
  <si>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</si>
  <si>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</si>
  <si>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</si>
  <si>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</si>
  <si>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</si>
  <si>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</si>
  <si>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</si>
  <si>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</si>
  <si>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</si>
  <si>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</si>
  <si>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</si>
  <si>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</si>
  <si>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</si>
  <si>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</si>
  <si>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</si>
  <si>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</si>
  <si>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</si>
  <si>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</si>
  <si>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</si>
  <si>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</si>
  <si>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</si>
  <si>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</si>
  <si>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</si>
  <si>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</si>
  <si>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</si>
  <si>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</si>
  <si>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</si>
  <si>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</si>
  <si>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</si>
  <si>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</si>
  <si>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</si>
  <si>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</si>
  <si>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</si>
  <si>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</si>
  <si>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</si>
  <si>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</si>
  <si>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</si>
  <si>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</si>
  <si>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</si>
  <si>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</si>
  <si>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</si>
  <si>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</si>
  <si>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</si>
  <si>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</si>
  <si>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</si>
  <si>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</si>
  <si>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</si>
  <si>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</si>
  <si>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</si>
  <si>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</si>
  <si>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</si>
  <si>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</si>
  <si>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</si>
  <si>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</si>
  <si>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</si>
  <si>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</si>
  <si>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</si>
  <si>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</si>
  <si>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</si>
  <si>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</si>
  <si>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</si>
  <si>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</si>
  <si>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</si>
  <si>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</si>
  <si>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</si>
  <si>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</si>
  <si>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</si>
  <si>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</si>
  <si>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</si>
  <si>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</si>
  <si>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</si>
  <si>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</si>
  <si>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</si>
  <si>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</si>
  <si>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</si>
  <si>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</si>
  <si>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</si>
  <si>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</si>
  <si>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</si>
  <si>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</si>
  <si>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</si>
  <si>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</si>
  <si>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</si>
  <si>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</si>
  <si>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</si>
  <si>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</si>
  <si>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</si>
  <si>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</si>
  <si>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</si>
  <si>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</si>
  <si>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</si>
  <si>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</si>
  <si>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</si>
  <si>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</si>
  <si>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</si>
  <si>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</si>
  <si>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</si>
  <si>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</si>
  <si>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</si>
  <si>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</si>
  <si>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</si>
  <si>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</si>
  <si>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</si>
  <si>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</si>
  <si>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</si>
  <si>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</si>
  <si>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</si>
  <si>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</si>
  <si>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</si>
  <si>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</si>
  <si>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</si>
  <si>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</si>
  <si>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</si>
  <si>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</si>
  <si>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</si>
  <si>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</si>
  <si>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</si>
  <si>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</si>
  <si>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</si>
  <si>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</si>
  <si>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</si>
  <si>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</si>
  <si>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</si>
  <si>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</si>
  <si>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</si>
  <si>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</si>
  <si>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</si>
  <si>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</si>
  <si>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</si>
  <si>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</si>
  <si>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</si>
  <si>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</si>
  <si>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</si>
  <si>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No solicitar con anticipación la salidas de los equipos al Almacén </t>
  </si>
  <si>
    <t>Inicia con la requisición de un documento, bien o servicio y finaliza con la entrega de lo requerido .</t>
  </si>
  <si>
    <t>Brindar asesoría y soporte en los procedimientos de adquisición, mantenimiento y administración de los recursos físicos y documentos de la empresa.</t>
  </si>
  <si>
    <t>Gestión Administrativa</t>
  </si>
  <si>
    <t>Formato Mapa Riesgos Corrupción 2023</t>
  </si>
  <si>
    <t>Posibilidad de Riesgo economico y reputacional por  Abuso de la figura "Urgencia Manifiesta"debido a  que se podría convertir en regla general y no de excepción para la contratación.</t>
  </si>
  <si>
    <t xml:space="preserve">Revisar que cada caso de urgencia manifiesta se ajuste a las normas vigentes de declaración de urgencia manifiesta en el estatuto de contratación. </t>
  </si>
  <si>
    <t>Posibilidad de Riesgo economico y reputacional por Favorecimiento ligado a intereses particulares o de terceros , debido a  estudios previos o de factibilidad manipulados por el personal interesado en el futuro proceso de contratación           (Estableciendo necesidades inexistentes o aspectos que beneficien una firma en particular).</t>
  </si>
  <si>
    <t>Falta de planeación  en la programacion de las compras</t>
  </si>
  <si>
    <t xml:space="preserve">Favorecimiento ligado a intereses particulares o de terceros </t>
  </si>
  <si>
    <t>Controles Inadecuados o poco seguimiento de los contratos</t>
  </si>
  <si>
    <t>Socializacion del procedimiento de compras SA PR 01 a los Directores de area para su efectiva aplicación</t>
  </si>
  <si>
    <t xml:space="preserve">Formato Mapa Riesgos Corrupción  2023 </t>
  </si>
  <si>
    <t>Gestión Comercial</t>
  </si>
  <si>
    <t>Investigar e identificar nuestros clientes potenciales, segmentar el mercado, desarrollar estrategias que permitan orientar nuestra oferta en función de las necesidades del mercado objetivo y comercializar los espacios disponibles para pauta y servicios especiales para incrementar los ingresos de la Entidad.</t>
  </si>
  <si>
    <t>Inicia con la elaboración del Plan de Mercadeo y termina con el plan de mejoramiento de las actividades del proceso.</t>
  </si>
  <si>
    <t>Socializar las principales variables de control durante la ejecución de los procedimientos Comercialización de Pauta Publicitaria y Comercialización de Servicios Especiales con énfasis en la prevención de la materialización del riesgo.</t>
  </si>
  <si>
    <t>Formato Mapa Riesgos  Corrupción 2023</t>
  </si>
  <si>
    <t>Gestión de Operativa y Tecnologica</t>
  </si>
  <si>
    <t>Garantizar el buen funcionamiento de la infraestructura tecnológica para el normal desarrollo de las actividades del canal.</t>
  </si>
  <si>
    <t>Inicia con la elaboracion del plan de mantenimiento preventivo y finaliza con la presentación de propuestas para la adquisición de equipos, software, insumos y servicios.</t>
  </si>
  <si>
    <t>1.Contratación del soporte y actualización del sistema de seguridad Perimetral instalado sobre la plataforma de la red de información de Telepacífico.
2. Monitorear el sistema de seguridad perimetral instalado sobre la red de información de Telepacífico, a través de la cual los usuarios tienen acceso a la información.</t>
  </si>
  <si>
    <t>1. solicitar la Contratación del soporte del Sistema de seguridad perimetral, en caso de estar caducada.</t>
  </si>
  <si>
    <t>Formato Mapa Riesgos  Corrupcion 2023</t>
  </si>
  <si>
    <t>Facturacion, Cartera y Tesoreria</t>
  </si>
  <si>
    <t>Planear, registrar, consolidar y suministrar la informacion financiera necesaria que permita una oportuna toma de decisiones por parte de la alta Direccion y el seguimiento de la gestion.</t>
  </si>
  <si>
    <t>Inicia con el recibo de certificados, ordenes de pauta y serv. Especiales, reportes y contratos de ingresos,  y termina con los egresos, recibos de caja, informes y la administración del portafolio de inversiones.</t>
  </si>
  <si>
    <t>Perdida de Recursos de la Entidad, Sanciones y Disciplinarios</t>
  </si>
  <si>
    <t>Incumplimiento de las politicas de inversion.</t>
  </si>
  <si>
    <t>Posibilidad de Afectacion economica y reputacional por realizar Inversiones en entidades que no generan un respaldo financiero</t>
  </si>
  <si>
    <t>Cotizaciones a Entidades Financieras y Comisionistas de Bolsa, acordes con las políticas de la Empresa</t>
  </si>
  <si>
    <t>Solicitar extracto de valoración de inversiones y certificados de deposito al DECEVAL o titulo valor</t>
  </si>
  <si>
    <t>Financiero</t>
  </si>
  <si>
    <t>Este proceso inicia con al consolidación y evaluación del presupuesto y finaliza con el análisis y proyecciones financieras.</t>
  </si>
  <si>
    <t xml:space="preserve">Infomación no confiable -
Mala Calidad de la informacion Fiananciera </t>
  </si>
  <si>
    <t>Entrega de documentos soporte no veraces de operaciones financieras y económicas producidas para el cierre mensual del ejercicio de la entidad</t>
  </si>
  <si>
    <t>Posibilidad de Afectacion economica y reputacional por la información no veraz que lleva a tomar decisiones inapropiadas para la entidad (estados financieros y ejecución presupuestal).</t>
  </si>
  <si>
    <t xml:space="preserve"> Validar que documentos sean idoneos y cumplan con las normas vigentes.</t>
  </si>
  <si>
    <t>Analizando y revisando la informacion registrada, realizando los ajustes y reclasificaciones de las cuentas necesarias</t>
  </si>
  <si>
    <t>Gestión de Jurídica</t>
  </si>
  <si>
    <t xml:space="preserve">Asesorar en los aspectos legales, administrativos, disciplinarios, conciliaciones y procesos contractuales a las diferentes áreas del Canal.  </t>
  </si>
  <si>
    <t>Inicia cuando se recibe una solicitud o requerimiento para orientación, actualización, tramite disciplinario o administrativo, contratación y conciliación, y termina con la atención a estos requerimientos</t>
  </si>
  <si>
    <t xml:space="preserve">Posibilidad de afectación economica y reputacional, por multas o sanciones debido a Interpretación y uso de las normas para favorecer intereses particulares </t>
  </si>
  <si>
    <t>Permanentemente se hace seguimiento al cambio del ordenamiento legal vigente y se reporta a las areas las modificaciones que se realicen con el fin de matener actualizados los normogramas del canal.</t>
  </si>
  <si>
    <t>Direcccion Juridica</t>
  </si>
  <si>
    <t>Gestión de Producción</t>
  </si>
  <si>
    <t xml:space="preserve">Realizar la producción de un programa o producto audiovisual   </t>
  </si>
  <si>
    <t>Inicia con la preproducción del programa o producto audiovisual y termina con la entrega de la señal audiovisual o entorte de la misma y archivo correspondiente.</t>
  </si>
  <si>
    <t>1. Revisión aleatoria de los reportes de personal - Reporte de novedad de horas frente a  tarjeta y programación.</t>
  </si>
  <si>
    <t>Producción</t>
  </si>
  <si>
    <t xml:space="preserve">controles inadecudos </t>
  </si>
  <si>
    <t>Uso indebido de los recursos destinados a la producción de programas.</t>
  </si>
  <si>
    <t xml:space="preserve">Posibilidad de afectación económica  por sanciones de entes reguladores debido al  mal manejo de los recursos apropiados para  los gastos de los equipos realizadores y producciones de Telepacífico. </t>
  </si>
  <si>
    <t>Seguimiento al cuadre desarrollado en el mes</t>
  </si>
  <si>
    <t xml:space="preserve">Gestión Programación </t>
  </si>
  <si>
    <t xml:space="preserve"> Estructurar la programación del Canal y clasificar los contenidos de los comerciales verificando y garantizando contenidos para emisión, cumpliendo con la politicas de programación y la normatividad</t>
  </si>
  <si>
    <t>Inicia con la revisión de las propuestas de programación, solicitud de codificación y clasificación de comerciales, y finaliza con la elaboración de certificados de emisión.</t>
  </si>
  <si>
    <t>Posibilidad de afectacion economica y reputacional por Interpretación subjetiva de las normas o favorecimiento a terceros debido al  No cumplir con las políticas institucionales del Canal y no acogerse a la legislación en televisión pública regulada por el  MINTIC en lo que respecta al cumplimiento de horarios, franjas y tiempo al aire de los contenidos materializados en la parrilla de programación y que son financiados por ambas instituciones.</t>
  </si>
  <si>
    <t>1. Generar una cultura de transparencia entre los funcionarios y contratistas del área de programación, con el fin de prevenir malas practicas administrativas. 
2. Incentivar al empleado a seguir los manuales de normas y politicas estableciadas por el MINTIC, con el fin de socializarlas con las productoras externas y propias del canal en los alcances y sanciones de incurrir en actos de corrupción.</t>
  </si>
  <si>
    <t xml:space="preserve"> Mapa de Riesgos institucional  Corrupción 2023</t>
  </si>
  <si>
    <t>Posibilidad de afectacion economica y reputacional  por Pérdida o manipulación de la Información debido a que  el  Sistema de Información sea Susceptible de manipulación interna o externa</t>
  </si>
  <si>
    <t>Falta de controles para la emisión de publicidad</t>
  </si>
  <si>
    <t xml:space="preserve">Falta de control en el acceso al sistema </t>
  </si>
  <si>
    <t>Sistema vulnerable o Susceptible</t>
  </si>
  <si>
    <t>Interpretación subjetiva de las normas por parte del personal del area juridica</t>
  </si>
  <si>
    <t>Desconocimiento de la normatividad  y jurisprudencia.</t>
  </si>
  <si>
    <t>Posibilidad de afectación económica  por favoritismo del personal  Debido a Favorecimientos o represalias al personal técnico de producción con reportes de novedades por encima o por debajo de los reales.</t>
  </si>
  <si>
    <t>Falta de control y seguimiento en las novedades</t>
  </si>
  <si>
    <t>Desconocimiento de la normatividad  vigente sobre emisión de pauta publicitaria y desconocimiento de las sanciones por el Ente regulador.</t>
  </si>
  <si>
    <t>Posibilidad de afectacion economica y reputacional por Favorecimiento a un tercero en el manejo de la Pauta Publicitaria, promocionando actividades personales o políticas partidistas que no esten reguladas por el Consejo Nacional Electoral.</t>
  </si>
  <si>
    <t>Falta de controles en la emisión de los programas propios y externos</t>
  </si>
  <si>
    <t>Favoritismo: Los criterios para defender la ética son remplazados por parcialidad a la hora de reportar los tiempos consignados y/o fraude del técnico que imprime los tiempos en tarjeta</t>
  </si>
  <si>
    <t xml:space="preserve">Desconocimiento de la normatividad  interna y externa vigente en la emisión de la programación y desconocimiento de las sanciones por su no cumplimiento.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</si>
</sst>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1"/>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3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9" fontId="1" fillId="0" borderId="4" xfId="0" applyNumberFormat="1" applyFont="1" applyFill="1" applyBorder="1" applyAlignment="1" applyProtection="1">
      <alignment horizontal="center" vertical="top"/>
      <protection hidden="1"/>
    </xf>
    <xf numFmtId="0" fontId="1" fillId="0" borderId="2" xfId="0" applyFont="1" applyBorder="1" applyAlignment="1" applyProtection="1">
      <alignment horizontal="center" vertical="center"/>
    </xf>
    <xf numFmtId="164" fontId="1" fillId="0" borderId="2" xfId="1" applyNumberFormat="1" applyFont="1" applyBorder="1" applyAlignment="1">
      <alignment horizontal="center" vertical="center"/>
    </xf>
    <xf numFmtId="0" fontId="1" fillId="0" borderId="4" xfId="0" applyFont="1" applyBorder="1" applyAlignment="1" applyProtection="1">
      <alignment vertical="center"/>
      <protection hidden="1"/>
    </xf>
    <xf numFmtId="0" fontId="1" fillId="0" borderId="4" xfId="0" applyFont="1" applyBorder="1" applyAlignment="1" applyProtection="1">
      <alignment vertical="center" textRotation="90"/>
      <protection locked="0"/>
    </xf>
    <xf numFmtId="9" fontId="1" fillId="0" borderId="4" xfId="0" applyNumberFormat="1" applyFont="1" applyBorder="1" applyAlignment="1" applyProtection="1">
      <alignment vertical="center"/>
      <protection hidden="1"/>
    </xf>
    <xf numFmtId="0" fontId="4" fillId="0" borderId="4" xfId="0" applyFont="1" applyFill="1" applyBorder="1" applyAlignment="1" applyProtection="1">
      <alignment vertical="center" textRotation="90" wrapText="1"/>
      <protection hidden="1"/>
    </xf>
    <xf numFmtId="0" fontId="4" fillId="0" borderId="4" xfId="0" applyFont="1" applyBorder="1" applyAlignment="1" applyProtection="1">
      <alignment vertical="center" textRotation="90"/>
      <protection hidden="1"/>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1" fillId="0" borderId="5" xfId="0" applyFont="1" applyBorder="1" applyAlignment="1" applyProtection="1">
      <alignment horizontal="justify" vertical="top"/>
      <protection locked="0"/>
    </xf>
    <xf numFmtId="164" fontId="1" fillId="9" borderId="2" xfId="1" applyNumberFormat="1" applyFont="1" applyFill="1" applyBorder="1" applyAlignment="1">
      <alignment horizontal="center" vertical="center"/>
    </xf>
    <xf numFmtId="0" fontId="1" fillId="9" borderId="0" xfId="0" applyFont="1" applyFill="1" applyAlignment="1">
      <alignment vertical="center"/>
    </xf>
    <xf numFmtId="0" fontId="1" fillId="9" borderId="0" xfId="0" applyFont="1" applyFill="1"/>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9" fontId="1" fillId="0" borderId="4" xfId="0" applyNumberFormat="1" applyFont="1" applyFill="1" applyBorder="1" applyAlignment="1" applyProtection="1">
      <alignment horizontal="center" vertical="center" wrapText="1"/>
      <protection locked="0"/>
    </xf>
    <xf numFmtId="9" fontId="1" fillId="0" borderId="8" xfId="0" applyNumberFormat="1" applyFont="1" applyFill="1" applyBorder="1" applyAlignment="1" applyProtection="1">
      <alignment horizontal="center" vertical="center" wrapText="1"/>
      <protection locked="0"/>
    </xf>
    <xf numFmtId="9" fontId="1" fillId="0" borderId="5" xfId="0" applyNumberFormat="1"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5" xfId="0" applyFont="1" applyBorder="1" applyAlignment="1" applyProtection="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 fillId="9" borderId="4" xfId="0" applyFont="1" applyFill="1" applyBorder="1" applyAlignment="1" applyProtection="1">
      <alignment horizontal="center" vertical="center" wrapText="1"/>
      <protection locked="0"/>
    </xf>
    <xf numFmtId="0" fontId="1" fillId="9" borderId="8" xfId="0" applyFont="1" applyFill="1" applyBorder="1" applyAlignment="1" applyProtection="1">
      <alignment horizontal="center" vertical="center" wrapText="1"/>
      <protection locked="0"/>
    </xf>
    <xf numFmtId="0" fontId="1" fillId="9" borderId="5" xfId="0" applyFont="1" applyFill="1" applyBorder="1" applyAlignment="1" applyProtection="1">
      <alignment horizontal="center" vertical="center" wrapText="1"/>
      <protection locked="0"/>
    </xf>
    <xf numFmtId="0" fontId="1" fillId="9" borderId="4" xfId="0" applyFont="1" applyFill="1" applyBorder="1" applyAlignment="1" applyProtection="1">
      <alignment horizontal="center" vertical="center"/>
      <protection locked="0"/>
    </xf>
    <xf numFmtId="0" fontId="1" fillId="9" borderId="8"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wrapText="1"/>
      <protection hidden="1"/>
    </xf>
    <xf numFmtId="0" fontId="4" fillId="9" borderId="8" xfId="0" applyFont="1" applyFill="1" applyBorder="1" applyAlignment="1" applyProtection="1">
      <alignment horizontal="center" vertical="center" wrapText="1"/>
      <protection hidden="1"/>
    </xf>
    <xf numFmtId="0" fontId="4" fillId="9" borderId="5" xfId="0" applyFont="1" applyFill="1" applyBorder="1" applyAlignment="1" applyProtection="1">
      <alignment horizontal="center" vertical="center" wrapText="1"/>
      <protection hidden="1"/>
    </xf>
    <xf numFmtId="0" fontId="1" fillId="9" borderId="4" xfId="0" applyFont="1" applyFill="1" applyBorder="1" applyAlignment="1" applyProtection="1">
      <alignment horizontal="center" vertical="center"/>
    </xf>
    <xf numFmtId="0" fontId="1" fillId="9" borderId="8" xfId="0" applyFont="1" applyFill="1" applyBorder="1" applyAlignment="1" applyProtection="1">
      <alignment horizontal="center" vertical="center"/>
    </xf>
    <xf numFmtId="0" fontId="1" fillId="9" borderId="5" xfId="0" applyFont="1" applyFill="1" applyBorder="1" applyAlignment="1" applyProtection="1">
      <alignment horizontal="center" vertical="center"/>
    </xf>
    <xf numFmtId="0" fontId="2" fillId="9" borderId="4" xfId="0" applyFont="1" applyFill="1" applyBorder="1" applyAlignment="1" applyProtection="1">
      <alignment horizontal="center" vertical="center" wrapText="1"/>
      <protection locked="0"/>
    </xf>
    <xf numFmtId="0" fontId="2" fillId="9" borderId="8" xfId="0" applyFont="1" applyFill="1" applyBorder="1" applyAlignment="1" applyProtection="1">
      <alignment horizontal="center" vertical="center" wrapText="1"/>
      <protection locked="0"/>
    </xf>
    <xf numFmtId="0" fontId="2" fillId="9" borderId="5" xfId="0" applyFont="1" applyFill="1" applyBorder="1" applyAlignment="1" applyProtection="1">
      <alignment horizontal="center" vertical="center" wrapText="1"/>
      <protection locked="0"/>
    </xf>
    <xf numFmtId="0" fontId="4" fillId="9" borderId="4" xfId="0" applyFont="1" applyFill="1" applyBorder="1" applyAlignment="1" applyProtection="1">
      <alignment horizontal="center" vertical="center"/>
      <protection hidden="1"/>
    </xf>
    <xf numFmtId="0" fontId="4" fillId="9" borderId="8" xfId="0" applyFont="1" applyFill="1" applyBorder="1" applyAlignment="1" applyProtection="1">
      <alignment horizontal="center" vertical="center"/>
      <protection hidden="1"/>
    </xf>
    <xf numFmtId="0" fontId="4" fillId="9" borderId="5" xfId="0" applyFont="1" applyFill="1" applyBorder="1" applyAlignment="1" applyProtection="1">
      <alignment horizontal="center" vertical="center"/>
      <protection hidden="1"/>
    </xf>
    <xf numFmtId="9" fontId="1" fillId="9" borderId="4" xfId="0" applyNumberFormat="1" applyFont="1" applyFill="1" applyBorder="1" applyAlignment="1" applyProtection="1">
      <alignment horizontal="center" vertical="center" wrapText="1"/>
      <protection hidden="1"/>
    </xf>
    <xf numFmtId="9" fontId="1" fillId="9" borderId="8" xfId="0" applyNumberFormat="1" applyFont="1" applyFill="1" applyBorder="1" applyAlignment="1" applyProtection="1">
      <alignment horizontal="center" vertical="center" wrapText="1"/>
      <protection hidden="1"/>
    </xf>
    <xf numFmtId="9" fontId="1" fillId="9" borderId="5" xfId="0" applyNumberFormat="1" applyFont="1" applyFill="1" applyBorder="1" applyAlignment="1" applyProtection="1">
      <alignment horizontal="center" vertical="center" wrapText="1"/>
      <protection hidden="1"/>
    </xf>
    <xf numFmtId="9" fontId="1" fillId="9" borderId="4" xfId="0" applyNumberFormat="1" applyFont="1" applyFill="1" applyBorder="1" applyAlignment="1" applyProtection="1">
      <alignment horizontal="center" vertical="center" wrapText="1"/>
      <protection locked="0"/>
    </xf>
    <xf numFmtId="9" fontId="1" fillId="9" borderId="8" xfId="0" applyNumberFormat="1" applyFont="1" applyFill="1" applyBorder="1" applyAlignment="1" applyProtection="1">
      <alignment horizontal="center" vertical="center" wrapText="1"/>
      <protection locked="0"/>
    </xf>
    <xf numFmtId="9" fontId="1" fillId="9" borderId="5" xfId="0" applyNumberFormat="1" applyFont="1" applyFill="1" applyBorder="1" applyAlignment="1" applyProtection="1">
      <alignment horizontal="center" vertical="center" wrapText="1"/>
      <protection locked="0"/>
    </xf>
    <xf numFmtId="9" fontId="1" fillId="9" borderId="4" xfId="0" applyNumberFormat="1" applyFont="1" applyFill="1" applyBorder="1" applyAlignment="1" applyProtection="1">
      <alignment horizontal="center" vertical="top" wrapText="1"/>
      <protection hidden="1"/>
    </xf>
    <xf numFmtId="9" fontId="1" fillId="9" borderId="8" xfId="0" applyNumberFormat="1" applyFont="1" applyFill="1" applyBorder="1" applyAlignment="1" applyProtection="1">
      <alignment horizontal="center" vertical="top" wrapText="1"/>
      <protection hidden="1"/>
    </xf>
    <xf numFmtId="9" fontId="1" fillId="9" borderId="5" xfId="0" applyNumberFormat="1" applyFont="1" applyFill="1" applyBorder="1" applyAlignment="1" applyProtection="1">
      <alignment horizontal="center" vertical="top" wrapText="1"/>
      <protection hidden="1"/>
    </xf>
    <xf numFmtId="0" fontId="2" fillId="9" borderId="4" xfId="0" applyFont="1" applyFill="1" applyBorder="1" applyAlignment="1" applyProtection="1">
      <alignment horizontal="left" vertical="center" wrapText="1"/>
      <protection locked="0"/>
    </xf>
    <xf numFmtId="0" fontId="2" fillId="9" borderId="8"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center" vertical="center"/>
      <protection hidden="1"/>
    </xf>
    <xf numFmtId="0" fontId="1" fillId="9" borderId="5" xfId="0" applyFont="1" applyFill="1" applyBorder="1" applyAlignment="1" applyProtection="1">
      <alignment horizontal="center" vertical="center"/>
      <protection hidden="1"/>
    </xf>
    <xf numFmtId="0" fontId="1" fillId="9" borderId="4" xfId="0" applyFont="1" applyFill="1" applyBorder="1" applyAlignment="1" applyProtection="1">
      <alignment horizontal="center" vertical="center" textRotation="90"/>
      <protection locked="0"/>
    </xf>
    <xf numFmtId="0" fontId="1" fillId="9" borderId="5" xfId="0" applyFont="1" applyFill="1" applyBorder="1" applyAlignment="1" applyProtection="1">
      <alignment horizontal="center" vertical="center" textRotation="90"/>
      <protection locked="0"/>
    </xf>
    <xf numFmtId="9" fontId="1" fillId="9" borderId="4" xfId="0" applyNumberFormat="1" applyFont="1" applyFill="1" applyBorder="1" applyAlignment="1" applyProtection="1">
      <alignment horizontal="center" vertical="center"/>
      <protection hidden="1"/>
    </xf>
    <xf numFmtId="9" fontId="1" fillId="9" borderId="5" xfId="0" applyNumberFormat="1" applyFont="1" applyFill="1" applyBorder="1" applyAlignment="1" applyProtection="1">
      <alignment horizontal="center" vertical="center"/>
      <protection hidden="1"/>
    </xf>
    <xf numFmtId="0" fontId="4" fillId="9" borderId="4" xfId="0" applyFont="1" applyFill="1" applyBorder="1" applyAlignment="1" applyProtection="1">
      <alignment horizontal="center" vertical="center" textRotation="90" wrapText="1"/>
      <protection hidden="1"/>
    </xf>
    <xf numFmtId="0" fontId="4" fillId="9" borderId="5" xfId="0" applyFont="1" applyFill="1" applyBorder="1" applyAlignment="1" applyProtection="1">
      <alignment horizontal="center" vertical="center" textRotation="90" wrapText="1"/>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4" fillId="0" borderId="4" xfId="0" applyFont="1" applyFill="1" applyBorder="1" applyAlignment="1" applyProtection="1">
      <alignment horizontal="center" vertical="center" textRotation="90" wrapText="1"/>
      <protection hidden="1"/>
    </xf>
    <xf numFmtId="0" fontId="4" fillId="0" borderId="5"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9" fontId="1" fillId="0" borderId="4" xfId="0" applyNumberFormat="1" applyFont="1" applyFill="1" applyBorder="1" applyAlignment="1" applyProtection="1">
      <alignment horizontal="center" vertical="center"/>
      <protection hidden="1"/>
    </xf>
    <xf numFmtId="9" fontId="1" fillId="0" borderId="5" xfId="0" applyNumberFormat="1" applyFont="1" applyFill="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14" fontId="1" fillId="0" borderId="4" xfId="0" applyNumberFormat="1" applyFont="1" applyBorder="1" applyAlignment="1" applyProtection="1">
      <alignment horizontal="center" vertical="top"/>
      <protection locked="0"/>
    </xf>
    <xf numFmtId="14" fontId="1" fillId="0" borderId="5" xfId="0" applyNumberFormat="1" applyFont="1" applyBorder="1" applyAlignment="1" applyProtection="1">
      <alignment horizontal="center" vertical="top"/>
      <protection locked="0"/>
    </xf>
    <xf numFmtId="0" fontId="1" fillId="9" borderId="4" xfId="0" applyFont="1" applyFill="1" applyBorder="1" applyAlignment="1" applyProtection="1">
      <alignment horizontal="center" vertical="top" wrapText="1"/>
      <protection locked="0"/>
    </xf>
    <xf numFmtId="0" fontId="1" fillId="9" borderId="5" xfId="0" applyFont="1" applyFill="1" applyBorder="1" applyAlignment="1" applyProtection="1">
      <alignment horizontal="center" vertical="top" wrapText="1"/>
      <protection locked="0"/>
    </xf>
    <xf numFmtId="0" fontId="1" fillId="9" borderId="4" xfId="0" applyFont="1" applyFill="1" applyBorder="1" applyAlignment="1" applyProtection="1">
      <alignment horizontal="center" vertical="top"/>
      <protection locked="0"/>
    </xf>
    <xf numFmtId="0" fontId="1" fillId="9" borderId="5" xfId="0" applyFont="1" applyFill="1" applyBorder="1" applyAlignment="1" applyProtection="1">
      <alignment horizontal="center" vertical="top"/>
      <protection locked="0"/>
    </xf>
    <xf numFmtId="14" fontId="1" fillId="9" borderId="4" xfId="0" applyNumberFormat="1" applyFont="1" applyFill="1" applyBorder="1" applyAlignment="1" applyProtection="1">
      <alignment horizontal="center" vertical="top"/>
      <protection locked="0"/>
    </xf>
    <xf numFmtId="14" fontId="1" fillId="9" borderId="5" xfId="0" applyNumberFormat="1" applyFont="1" applyFill="1" applyBorder="1" applyAlignment="1" applyProtection="1">
      <alignment horizontal="center" vertical="top"/>
      <protection locked="0"/>
    </xf>
    <xf numFmtId="0" fontId="4" fillId="9" borderId="4" xfId="0" applyFont="1" applyFill="1" applyBorder="1" applyAlignment="1" applyProtection="1">
      <alignment horizontal="center" vertical="center" textRotation="90"/>
      <protection hidden="1"/>
    </xf>
    <xf numFmtId="0" fontId="4" fillId="9" borderId="5" xfId="0" applyFont="1" applyFill="1" applyBorder="1" applyAlignment="1" applyProtection="1">
      <alignment horizontal="center" vertical="center" textRotation="90"/>
      <protection hidden="1"/>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4" fontId="1" fillId="0" borderId="4"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9" fontId="1" fillId="0" borderId="8" xfId="0" applyNumberFormat="1" applyFont="1" applyBorder="1" applyAlignment="1" applyProtection="1">
      <alignment horizontal="center" vertical="center"/>
      <protection hidden="1"/>
    </xf>
    <xf numFmtId="0" fontId="4" fillId="0" borderId="8" xfId="0" applyFont="1" applyBorder="1" applyAlignment="1" applyProtection="1">
      <alignment horizontal="center" vertical="center" textRotation="90"/>
      <protection hidden="1"/>
    </xf>
    <xf numFmtId="0" fontId="1" fillId="0" borderId="8" xfId="0" applyFont="1" applyBorder="1" applyAlignment="1" applyProtection="1">
      <alignment horizontal="center" vertical="center" textRotation="90"/>
      <protection locked="0"/>
    </xf>
    <xf numFmtId="14" fontId="1" fillId="0" borderId="8" xfId="0" applyNumberFormat="1" applyFont="1" applyBorder="1" applyAlignment="1" applyProtection="1">
      <alignment horizontal="center" vertical="center"/>
      <protection locked="0"/>
    </xf>
    <xf numFmtId="0" fontId="4" fillId="0" borderId="8" xfId="0" applyFont="1" applyFill="1" applyBorder="1" applyAlignment="1" applyProtection="1">
      <alignment horizontal="center" vertical="center" textRotation="90" wrapText="1"/>
      <protection hidden="1"/>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protection hidden="1"/>
    </xf>
    <xf numFmtId="14" fontId="1" fillId="0" borderId="8" xfId="0" applyNumberFormat="1" applyFont="1" applyBorder="1" applyAlignment="1" applyProtection="1">
      <alignment horizontal="center" vertical="top"/>
      <protection locked="0"/>
    </xf>
    <xf numFmtId="0" fontId="6" fillId="0" borderId="8" xfId="0" applyFont="1" applyBorder="1" applyAlignment="1" applyProtection="1">
      <alignment horizontal="center" vertical="center" wrapText="1"/>
      <protection locked="0"/>
    </xf>
    <xf numFmtId="14" fontId="1" fillId="0" borderId="4" xfId="0" applyNumberFormat="1" applyFont="1" applyBorder="1" applyAlignment="1" applyProtection="1">
      <alignment horizontal="center" vertical="center" wrapText="1"/>
      <protection locked="0"/>
    </xf>
    <xf numFmtId="14" fontId="1" fillId="0" borderId="5" xfId="0" applyNumberFormat="1" applyFont="1" applyBorder="1" applyAlignment="1" applyProtection="1">
      <alignment horizontal="center" vertical="center" wrapText="1"/>
      <protection locked="0"/>
    </xf>
    <xf numFmtId="0" fontId="4" fillId="2" borderId="4" xfId="0" applyFont="1" applyFill="1" applyBorder="1" applyAlignment="1">
      <alignment horizontal="center" vertical="center"/>
    </xf>
    <xf numFmtId="0" fontId="1" fillId="0" borderId="2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75"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0" xfId="0" applyFont="1" applyBorder="1" applyAlignment="1">
      <alignment horizontal="justify" vertical="center" wrapText="1"/>
    </xf>
    <xf numFmtId="0" fontId="1" fillId="0" borderId="30"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0" xfId="0" applyFont="1" applyBorder="1" applyAlignment="1">
      <alignment horizontal="center" vertical="center" wrapText="1"/>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textRotation="90" wrapText="1"/>
      <protection locked="0"/>
    </xf>
    <xf numFmtId="0" fontId="1" fillId="0" borderId="8" xfId="0" applyFont="1" applyBorder="1" applyAlignment="1" applyProtection="1">
      <alignment horizontal="center" vertical="center" textRotation="90" wrapText="1"/>
      <protection locked="0"/>
    </xf>
    <xf numFmtId="0" fontId="1" fillId="0" borderId="5" xfId="0" applyFont="1" applyBorder="1" applyAlignment="1" applyProtection="1">
      <alignment horizontal="center" vertical="center" textRotation="90" wrapText="1"/>
      <protection locked="0"/>
    </xf>
    <xf numFmtId="9" fontId="1" fillId="0" borderId="8" xfId="0" applyNumberFormat="1" applyFont="1" applyFill="1" applyBorder="1" applyAlignment="1" applyProtection="1">
      <alignment horizontal="center" vertical="center"/>
      <protection hidden="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69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3/Riesgos%20Version%205%20guia%20DAFP/CORRUPCION/Mapa%20Riesgos%20de%20Corrupcion%20FC%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3/Riesgos%20Version%205%20guia%20DAFP/CORRUPCION/Mapa%20Riesgos%20de%20Corrupcion%20Financiera%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lan%20Anticorrupci&#243;n%20y%20Atenc%20al%20Ciudadano%20PAAC/2023/Riesgos%20Version%205%20guia%20DAFP/CORRUPCION/Mapa%20Riesgos%20Legal%20Corrup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27" zoomScale="110" zoomScaleNormal="110" workbookViewId="0">
      <selection activeCell="E20" sqref="E20:F20"/>
    </sheetView>
  </sheetViews>
  <sheetFormatPr baseColWidth="10" defaultRowHeight="15" x14ac:dyDescent="0.25"/>
  <cols>
    <col min="1" max="1" width="2.85546875" style="83" customWidth="1"/>
    <col min="2" max="3" width="24.7109375" style="83" customWidth="1"/>
    <col min="4" max="4" width="16" style="83" customWidth="1"/>
    <col min="5" max="5" width="24.7109375" style="83" customWidth="1"/>
    <col min="6" max="6" width="27.7109375" style="83" customWidth="1"/>
    <col min="7" max="8" width="24.7109375" style="83" customWidth="1"/>
    <col min="9" max="16384" width="11.42578125" style="83"/>
  </cols>
  <sheetData>
    <row r="1" spans="2:8" ht="15.75" thickBot="1" x14ac:dyDescent="0.3"/>
    <row r="2" spans="2:8" ht="18" x14ac:dyDescent="0.25">
      <c r="B2" s="169" t="s">
        <v>164</v>
      </c>
      <c r="C2" s="170"/>
      <c r="D2" s="170"/>
      <c r="E2" s="170"/>
      <c r="F2" s="170"/>
      <c r="G2" s="170"/>
      <c r="H2" s="171"/>
    </row>
    <row r="3" spans="2:8" x14ac:dyDescent="0.25">
      <c r="B3" s="84"/>
      <c r="C3" s="85"/>
      <c r="D3" s="85"/>
      <c r="E3" s="85"/>
      <c r="F3" s="85"/>
      <c r="G3" s="85"/>
      <c r="H3" s="86"/>
    </row>
    <row r="4" spans="2:8" ht="63" customHeight="1" x14ac:dyDescent="0.25">
      <c r="B4" s="172" t="s">
        <v>207</v>
      </c>
      <c r="C4" s="173"/>
      <c r="D4" s="173"/>
      <c r="E4" s="173"/>
      <c r="F4" s="173"/>
      <c r="G4" s="173"/>
      <c r="H4" s="174"/>
    </row>
    <row r="5" spans="2:8" ht="60.75" customHeight="1" x14ac:dyDescent="0.25">
      <c r="B5" s="175"/>
      <c r="C5" s="176"/>
      <c r="D5" s="176"/>
      <c r="E5" s="176"/>
      <c r="F5" s="176"/>
      <c r="G5" s="176"/>
      <c r="H5" s="177"/>
    </row>
    <row r="6" spans="2:8" ht="16.5" x14ac:dyDescent="0.25">
      <c r="B6" s="178" t="s">
        <v>162</v>
      </c>
      <c r="C6" s="179"/>
      <c r="D6" s="179"/>
      <c r="E6" s="179"/>
      <c r="F6" s="179"/>
      <c r="G6" s="179"/>
      <c r="H6" s="180"/>
    </row>
    <row r="7" spans="2:8" ht="95.25" customHeight="1" x14ac:dyDescent="0.25">
      <c r="B7" s="188" t="s">
        <v>167</v>
      </c>
      <c r="C7" s="189"/>
      <c r="D7" s="189"/>
      <c r="E7" s="189"/>
      <c r="F7" s="189"/>
      <c r="G7" s="189"/>
      <c r="H7" s="190"/>
    </row>
    <row r="8" spans="2:8" ht="16.5" x14ac:dyDescent="0.25">
      <c r="B8" s="121"/>
      <c r="C8" s="122"/>
      <c r="D8" s="122"/>
      <c r="E8" s="122"/>
      <c r="F8" s="122"/>
      <c r="G8" s="122"/>
      <c r="H8" s="123"/>
    </row>
    <row r="9" spans="2:8" ht="16.5" customHeight="1" x14ac:dyDescent="0.25">
      <c r="B9" s="181" t="s">
        <v>200</v>
      </c>
      <c r="C9" s="182"/>
      <c r="D9" s="182"/>
      <c r="E9" s="182"/>
      <c r="F9" s="182"/>
      <c r="G9" s="182"/>
      <c r="H9" s="183"/>
    </row>
    <row r="10" spans="2:8" ht="44.25" customHeight="1" x14ac:dyDescent="0.25">
      <c r="B10" s="181"/>
      <c r="C10" s="182"/>
      <c r="D10" s="182"/>
      <c r="E10" s="182"/>
      <c r="F10" s="182"/>
      <c r="G10" s="182"/>
      <c r="H10" s="183"/>
    </row>
    <row r="11" spans="2:8" ht="15.75" thickBot="1" x14ac:dyDescent="0.3">
      <c r="B11" s="109"/>
      <c r="C11" s="112"/>
      <c r="D11" s="117"/>
      <c r="E11" s="118"/>
      <c r="F11" s="118"/>
      <c r="G11" s="119"/>
      <c r="H11" s="120"/>
    </row>
    <row r="12" spans="2:8" ht="15.75" thickTop="1" x14ac:dyDescent="0.25">
      <c r="B12" s="109"/>
      <c r="C12" s="184" t="s">
        <v>163</v>
      </c>
      <c r="D12" s="185"/>
      <c r="E12" s="186" t="s">
        <v>201</v>
      </c>
      <c r="F12" s="187"/>
      <c r="G12" s="112"/>
      <c r="H12" s="113"/>
    </row>
    <row r="13" spans="2:8" ht="35.25" customHeight="1" x14ac:dyDescent="0.25">
      <c r="B13" s="109"/>
      <c r="C13" s="156" t="s">
        <v>194</v>
      </c>
      <c r="D13" s="157"/>
      <c r="E13" s="158" t="s">
        <v>199</v>
      </c>
      <c r="F13" s="159"/>
      <c r="G13" s="112"/>
      <c r="H13" s="113"/>
    </row>
    <row r="14" spans="2:8" ht="17.25" customHeight="1" x14ac:dyDescent="0.25">
      <c r="B14" s="109"/>
      <c r="C14" s="156" t="s">
        <v>195</v>
      </c>
      <c r="D14" s="157"/>
      <c r="E14" s="158" t="s">
        <v>197</v>
      </c>
      <c r="F14" s="159"/>
      <c r="G14" s="112"/>
      <c r="H14" s="113"/>
    </row>
    <row r="15" spans="2:8" ht="19.5" customHeight="1" x14ac:dyDescent="0.25">
      <c r="B15" s="109"/>
      <c r="C15" s="156" t="s">
        <v>196</v>
      </c>
      <c r="D15" s="157"/>
      <c r="E15" s="158" t="s">
        <v>198</v>
      </c>
      <c r="F15" s="159"/>
      <c r="G15" s="112"/>
      <c r="H15" s="113"/>
    </row>
    <row r="16" spans="2:8" ht="69.75" customHeight="1" x14ac:dyDescent="0.25">
      <c r="B16" s="109"/>
      <c r="C16" s="156" t="s">
        <v>165</v>
      </c>
      <c r="D16" s="157"/>
      <c r="E16" s="158" t="s">
        <v>166</v>
      </c>
      <c r="F16" s="159"/>
      <c r="G16" s="112"/>
      <c r="H16" s="113"/>
    </row>
    <row r="17" spans="2:8" ht="34.5" customHeight="1" x14ac:dyDescent="0.25">
      <c r="B17" s="109"/>
      <c r="C17" s="160" t="s">
        <v>2</v>
      </c>
      <c r="D17" s="161"/>
      <c r="E17" s="152" t="s">
        <v>208</v>
      </c>
      <c r="F17" s="153"/>
      <c r="G17" s="112"/>
      <c r="H17" s="113"/>
    </row>
    <row r="18" spans="2:8" ht="27.75" customHeight="1" x14ac:dyDescent="0.25">
      <c r="B18" s="109"/>
      <c r="C18" s="160" t="s">
        <v>3</v>
      </c>
      <c r="D18" s="161"/>
      <c r="E18" s="152" t="s">
        <v>209</v>
      </c>
      <c r="F18" s="153"/>
      <c r="G18" s="112"/>
      <c r="H18" s="113"/>
    </row>
    <row r="19" spans="2:8" ht="28.5" customHeight="1" x14ac:dyDescent="0.25">
      <c r="B19" s="109"/>
      <c r="C19" s="160" t="s">
        <v>42</v>
      </c>
      <c r="D19" s="161"/>
      <c r="E19" s="152" t="s">
        <v>210</v>
      </c>
      <c r="F19" s="153"/>
      <c r="G19" s="112"/>
      <c r="H19" s="113"/>
    </row>
    <row r="20" spans="2:8" ht="72.75" customHeight="1" x14ac:dyDescent="0.25">
      <c r="B20" s="109"/>
      <c r="C20" s="160" t="s">
        <v>1</v>
      </c>
      <c r="D20" s="161"/>
      <c r="E20" s="152" t="s">
        <v>211</v>
      </c>
      <c r="F20" s="153"/>
      <c r="G20" s="112"/>
      <c r="H20" s="113"/>
    </row>
    <row r="21" spans="2:8" ht="64.5" customHeight="1" x14ac:dyDescent="0.25">
      <c r="B21" s="109"/>
      <c r="C21" s="160" t="s">
        <v>50</v>
      </c>
      <c r="D21" s="161"/>
      <c r="E21" s="152" t="s">
        <v>169</v>
      </c>
      <c r="F21" s="153"/>
      <c r="G21" s="112"/>
      <c r="H21" s="113"/>
    </row>
    <row r="22" spans="2:8" ht="71.25" customHeight="1" x14ac:dyDescent="0.25">
      <c r="B22" s="109"/>
      <c r="C22" s="160" t="s">
        <v>168</v>
      </c>
      <c r="D22" s="161"/>
      <c r="E22" s="152" t="s">
        <v>170</v>
      </c>
      <c r="F22" s="153"/>
      <c r="G22" s="112"/>
      <c r="H22" s="113"/>
    </row>
    <row r="23" spans="2:8" ht="55.5" customHeight="1" x14ac:dyDescent="0.25">
      <c r="B23" s="109"/>
      <c r="C23" s="154" t="s">
        <v>171</v>
      </c>
      <c r="D23" s="155"/>
      <c r="E23" s="152" t="s">
        <v>172</v>
      </c>
      <c r="F23" s="153"/>
      <c r="G23" s="112"/>
      <c r="H23" s="113"/>
    </row>
    <row r="24" spans="2:8" ht="42" customHeight="1" x14ac:dyDescent="0.25">
      <c r="B24" s="109"/>
      <c r="C24" s="154" t="s">
        <v>48</v>
      </c>
      <c r="D24" s="155"/>
      <c r="E24" s="152" t="s">
        <v>173</v>
      </c>
      <c r="F24" s="153"/>
      <c r="G24" s="112"/>
      <c r="H24" s="113"/>
    </row>
    <row r="25" spans="2:8" ht="59.25" customHeight="1" x14ac:dyDescent="0.25">
      <c r="B25" s="109"/>
      <c r="C25" s="154" t="s">
        <v>161</v>
      </c>
      <c r="D25" s="155"/>
      <c r="E25" s="152" t="s">
        <v>174</v>
      </c>
      <c r="F25" s="153"/>
      <c r="G25" s="112"/>
      <c r="H25" s="113"/>
    </row>
    <row r="26" spans="2:8" ht="23.25" customHeight="1" x14ac:dyDescent="0.25">
      <c r="B26" s="109"/>
      <c r="C26" s="154" t="s">
        <v>12</v>
      </c>
      <c r="D26" s="155"/>
      <c r="E26" s="152" t="s">
        <v>175</v>
      </c>
      <c r="F26" s="153"/>
      <c r="G26" s="112"/>
      <c r="H26" s="113"/>
    </row>
    <row r="27" spans="2:8" ht="30.75" customHeight="1" x14ac:dyDescent="0.25">
      <c r="B27" s="109"/>
      <c r="C27" s="154" t="s">
        <v>179</v>
      </c>
      <c r="D27" s="155"/>
      <c r="E27" s="152" t="s">
        <v>176</v>
      </c>
      <c r="F27" s="153"/>
      <c r="G27" s="112"/>
      <c r="H27" s="113"/>
    </row>
    <row r="28" spans="2:8" ht="35.25" customHeight="1" x14ac:dyDescent="0.25">
      <c r="B28" s="109"/>
      <c r="C28" s="154" t="s">
        <v>180</v>
      </c>
      <c r="D28" s="155"/>
      <c r="E28" s="152" t="s">
        <v>177</v>
      </c>
      <c r="F28" s="153"/>
      <c r="G28" s="112"/>
      <c r="H28" s="113"/>
    </row>
    <row r="29" spans="2:8" ht="33" customHeight="1" x14ac:dyDescent="0.25">
      <c r="B29" s="109"/>
      <c r="C29" s="154" t="s">
        <v>180</v>
      </c>
      <c r="D29" s="155"/>
      <c r="E29" s="152" t="s">
        <v>177</v>
      </c>
      <c r="F29" s="153"/>
      <c r="G29" s="112"/>
      <c r="H29" s="113"/>
    </row>
    <row r="30" spans="2:8" ht="30" customHeight="1" x14ac:dyDescent="0.25">
      <c r="B30" s="109"/>
      <c r="C30" s="154" t="s">
        <v>181</v>
      </c>
      <c r="D30" s="155"/>
      <c r="E30" s="152" t="s">
        <v>178</v>
      </c>
      <c r="F30" s="153"/>
      <c r="G30" s="112"/>
      <c r="H30" s="113"/>
    </row>
    <row r="31" spans="2:8" ht="35.25" customHeight="1" x14ac:dyDescent="0.25">
      <c r="B31" s="109"/>
      <c r="C31" s="154" t="s">
        <v>182</v>
      </c>
      <c r="D31" s="155"/>
      <c r="E31" s="152" t="s">
        <v>183</v>
      </c>
      <c r="F31" s="153"/>
      <c r="G31" s="112"/>
      <c r="H31" s="113"/>
    </row>
    <row r="32" spans="2:8" ht="31.5" customHeight="1" x14ac:dyDescent="0.25">
      <c r="B32" s="109"/>
      <c r="C32" s="154" t="s">
        <v>184</v>
      </c>
      <c r="D32" s="155"/>
      <c r="E32" s="152" t="s">
        <v>185</v>
      </c>
      <c r="F32" s="153"/>
      <c r="G32" s="112"/>
      <c r="H32" s="113"/>
    </row>
    <row r="33" spans="2:8" ht="35.25" customHeight="1" x14ac:dyDescent="0.25">
      <c r="B33" s="109"/>
      <c r="C33" s="154" t="s">
        <v>186</v>
      </c>
      <c r="D33" s="155"/>
      <c r="E33" s="152" t="s">
        <v>187</v>
      </c>
      <c r="F33" s="153"/>
      <c r="G33" s="112"/>
      <c r="H33" s="113"/>
    </row>
    <row r="34" spans="2:8" ht="59.25" customHeight="1" x14ac:dyDescent="0.25">
      <c r="B34" s="109"/>
      <c r="C34" s="154" t="s">
        <v>188</v>
      </c>
      <c r="D34" s="155"/>
      <c r="E34" s="152" t="s">
        <v>189</v>
      </c>
      <c r="F34" s="153"/>
      <c r="G34" s="112"/>
      <c r="H34" s="113"/>
    </row>
    <row r="35" spans="2:8" ht="29.25" customHeight="1" x14ac:dyDescent="0.25">
      <c r="B35" s="109"/>
      <c r="C35" s="154" t="s">
        <v>29</v>
      </c>
      <c r="D35" s="155"/>
      <c r="E35" s="152" t="s">
        <v>190</v>
      </c>
      <c r="F35" s="153"/>
      <c r="G35" s="112"/>
      <c r="H35" s="113"/>
    </row>
    <row r="36" spans="2:8" ht="82.5" customHeight="1" x14ac:dyDescent="0.25">
      <c r="B36" s="109"/>
      <c r="C36" s="154" t="s">
        <v>192</v>
      </c>
      <c r="D36" s="155"/>
      <c r="E36" s="152" t="s">
        <v>191</v>
      </c>
      <c r="F36" s="153"/>
      <c r="G36" s="112"/>
      <c r="H36" s="113"/>
    </row>
    <row r="37" spans="2:8" ht="46.5" customHeight="1" x14ac:dyDescent="0.25">
      <c r="B37" s="109"/>
      <c r="C37" s="154" t="s">
        <v>39</v>
      </c>
      <c r="D37" s="155"/>
      <c r="E37" s="152" t="s">
        <v>193</v>
      </c>
      <c r="F37" s="153"/>
      <c r="G37" s="112"/>
      <c r="H37" s="113"/>
    </row>
    <row r="38" spans="2:8" ht="6.75" customHeight="1" thickBot="1" x14ac:dyDescent="0.3">
      <c r="B38" s="109"/>
      <c r="C38" s="165"/>
      <c r="D38" s="166"/>
      <c r="E38" s="167"/>
      <c r="F38" s="168"/>
      <c r="G38" s="112"/>
      <c r="H38" s="113"/>
    </row>
    <row r="39" spans="2:8" ht="15.75" thickTop="1" x14ac:dyDescent="0.25">
      <c r="B39" s="109"/>
      <c r="C39" s="110"/>
      <c r="D39" s="110"/>
      <c r="E39" s="111"/>
      <c r="F39" s="111"/>
      <c r="G39" s="112"/>
      <c r="H39" s="113"/>
    </row>
    <row r="40" spans="2:8" ht="21" customHeight="1" x14ac:dyDescent="0.25">
      <c r="B40" s="162" t="s">
        <v>202</v>
      </c>
      <c r="C40" s="163"/>
      <c r="D40" s="163"/>
      <c r="E40" s="163"/>
      <c r="F40" s="163"/>
      <c r="G40" s="163"/>
      <c r="H40" s="164"/>
    </row>
    <row r="41" spans="2:8" ht="20.25" customHeight="1" x14ac:dyDescent="0.25">
      <c r="B41" s="162" t="s">
        <v>203</v>
      </c>
      <c r="C41" s="163"/>
      <c r="D41" s="163"/>
      <c r="E41" s="163"/>
      <c r="F41" s="163"/>
      <c r="G41" s="163"/>
      <c r="H41" s="164"/>
    </row>
    <row r="42" spans="2:8" ht="20.25" customHeight="1" x14ac:dyDescent="0.25">
      <c r="B42" s="162" t="s">
        <v>204</v>
      </c>
      <c r="C42" s="163"/>
      <c r="D42" s="163"/>
      <c r="E42" s="163"/>
      <c r="F42" s="163"/>
      <c r="G42" s="163"/>
      <c r="H42" s="164"/>
    </row>
    <row r="43" spans="2:8" ht="20.25" customHeight="1" x14ac:dyDescent="0.25">
      <c r="B43" s="162" t="s">
        <v>205</v>
      </c>
      <c r="C43" s="163"/>
      <c r="D43" s="163"/>
      <c r="E43" s="163"/>
      <c r="F43" s="163"/>
      <c r="G43" s="163"/>
      <c r="H43" s="164"/>
    </row>
    <row r="44" spans="2:8" x14ac:dyDescent="0.25">
      <c r="B44" s="162" t="s">
        <v>206</v>
      </c>
      <c r="C44" s="163"/>
      <c r="D44" s="163"/>
      <c r="E44" s="163"/>
      <c r="F44" s="163"/>
      <c r="G44" s="163"/>
      <c r="H44" s="164"/>
    </row>
    <row r="45" spans="2:8" ht="15.75" thickBot="1" x14ac:dyDescent="0.3">
      <c r="B45" s="114"/>
      <c r="C45" s="115"/>
      <c r="D45" s="115"/>
      <c r="E45" s="115"/>
      <c r="F45" s="115"/>
      <c r="G45" s="115"/>
      <c r="H45" s="116"/>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236"/>
  <sheetViews>
    <sheetView showGridLines="0" tabSelected="1" zoomScale="70" zoomScaleNormal="70" zoomScaleSheetLayoutView="70" workbookViewId="0">
      <selection sqref="A1:XFD1048576"/>
    </sheetView>
  </sheetViews>
  <sheetFormatPr baseColWidth="10" defaultRowHeight="16.5" x14ac:dyDescent="0.3"/>
  <cols>
    <col min="1" max="1" width="4" style="2" bestFit="1" customWidth="1"/>
    <col min="2" max="2" width="14.140625" style="2" customWidth="1"/>
    <col min="3" max="3" width="16.42578125" style="2" customWidth="1"/>
    <col min="4" max="4" width="21.8554687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7.42578125" style="1" bestFit="1" customWidth="1"/>
    <col min="14" max="14" width="16" style="1" customWidth="1"/>
    <col min="15" max="15" width="5.85546875" style="3"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95" t="s">
        <v>271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7"/>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8"/>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200"/>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7"/>
      <c r="B3" s="28"/>
      <c r="C3" s="27"/>
      <c r="D3" s="27"/>
      <c r="E3" s="8"/>
      <c r="F3" s="26"/>
      <c r="G3" s="8"/>
      <c r="H3" s="8"/>
      <c r="I3" s="8"/>
      <c r="J3" s="8"/>
      <c r="K3" s="8"/>
      <c r="L3" s="8"/>
      <c r="M3" s="8"/>
      <c r="N3" s="8"/>
      <c r="O3" s="25"/>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56" t="s">
        <v>43</v>
      </c>
      <c r="B4" s="257"/>
      <c r="C4" s="191" t="s">
        <v>215</v>
      </c>
      <c r="D4" s="192"/>
      <c r="E4" s="192"/>
      <c r="F4" s="192"/>
      <c r="G4" s="192"/>
      <c r="H4" s="192"/>
      <c r="I4" s="192"/>
      <c r="J4" s="192"/>
      <c r="K4" s="192"/>
      <c r="L4" s="192"/>
      <c r="M4" s="192"/>
      <c r="N4" s="193"/>
      <c r="O4" s="194"/>
      <c r="P4" s="194"/>
      <c r="Q4" s="194"/>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56" t="s">
        <v>130</v>
      </c>
      <c r="B5" s="257"/>
      <c r="C5" s="266" t="s">
        <v>214</v>
      </c>
      <c r="D5" s="192"/>
      <c r="E5" s="192"/>
      <c r="F5" s="192"/>
      <c r="G5" s="192"/>
      <c r="H5" s="192"/>
      <c r="I5" s="192"/>
      <c r="J5" s="192"/>
      <c r="K5" s="192"/>
      <c r="L5" s="192"/>
      <c r="M5" s="192"/>
      <c r="N5" s="193"/>
      <c r="O5" s="25"/>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38.25" customHeight="1" x14ac:dyDescent="0.3">
      <c r="A6" s="256" t="s">
        <v>44</v>
      </c>
      <c r="B6" s="257"/>
      <c r="C6" s="266" t="s">
        <v>213</v>
      </c>
      <c r="D6" s="267"/>
      <c r="E6" s="267"/>
      <c r="F6" s="267"/>
      <c r="G6" s="267"/>
      <c r="H6" s="267"/>
      <c r="I6" s="267"/>
      <c r="J6" s="267"/>
      <c r="K6" s="267"/>
      <c r="L6" s="267"/>
      <c r="M6" s="267"/>
      <c r="N6" s="268"/>
      <c r="O6" s="25"/>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01" t="s">
        <v>139</v>
      </c>
      <c r="B7" s="202"/>
      <c r="C7" s="202"/>
      <c r="D7" s="202"/>
      <c r="E7" s="202"/>
      <c r="F7" s="202"/>
      <c r="G7" s="203"/>
      <c r="H7" s="201" t="s">
        <v>140</v>
      </c>
      <c r="I7" s="202"/>
      <c r="J7" s="202"/>
      <c r="K7" s="202"/>
      <c r="L7" s="202"/>
      <c r="M7" s="202"/>
      <c r="N7" s="203"/>
      <c r="O7" s="201" t="s">
        <v>141</v>
      </c>
      <c r="P7" s="202"/>
      <c r="Q7" s="202"/>
      <c r="R7" s="202"/>
      <c r="S7" s="202"/>
      <c r="T7" s="202"/>
      <c r="U7" s="202"/>
      <c r="V7" s="202"/>
      <c r="W7" s="203"/>
      <c r="X7" s="201" t="s">
        <v>142</v>
      </c>
      <c r="Y7" s="202"/>
      <c r="Z7" s="202"/>
      <c r="AA7" s="202"/>
      <c r="AB7" s="202"/>
      <c r="AC7" s="202"/>
      <c r="AD7" s="203"/>
      <c r="AE7" s="201" t="s">
        <v>34</v>
      </c>
      <c r="AF7" s="202"/>
      <c r="AG7" s="202"/>
      <c r="AH7" s="202"/>
      <c r="AI7" s="202"/>
      <c r="AJ7" s="203"/>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58" t="s">
        <v>0</v>
      </c>
      <c r="B8" s="263" t="s">
        <v>2</v>
      </c>
      <c r="C8" s="261" t="s">
        <v>3</v>
      </c>
      <c r="D8" s="261" t="s">
        <v>42</v>
      </c>
      <c r="E8" s="262" t="s">
        <v>1</v>
      </c>
      <c r="F8" s="260" t="s">
        <v>50</v>
      </c>
      <c r="G8" s="261" t="s">
        <v>135</v>
      </c>
      <c r="H8" s="270" t="s">
        <v>33</v>
      </c>
      <c r="I8" s="271" t="s">
        <v>5</v>
      </c>
      <c r="J8" s="260" t="s">
        <v>87</v>
      </c>
      <c r="K8" s="260" t="s">
        <v>92</v>
      </c>
      <c r="L8" s="273" t="s">
        <v>45</v>
      </c>
      <c r="M8" s="271" t="s">
        <v>5</v>
      </c>
      <c r="N8" s="261" t="s">
        <v>48</v>
      </c>
      <c r="O8" s="264" t="s">
        <v>11</v>
      </c>
      <c r="P8" s="255" t="s">
        <v>161</v>
      </c>
      <c r="Q8" s="260" t="s">
        <v>12</v>
      </c>
      <c r="R8" s="255" t="s">
        <v>8</v>
      </c>
      <c r="S8" s="255"/>
      <c r="T8" s="255"/>
      <c r="U8" s="255"/>
      <c r="V8" s="255"/>
      <c r="W8" s="255"/>
      <c r="X8" s="269" t="s">
        <v>138</v>
      </c>
      <c r="Y8" s="269" t="s">
        <v>46</v>
      </c>
      <c r="Z8" s="269" t="s">
        <v>5</v>
      </c>
      <c r="AA8" s="269" t="s">
        <v>47</v>
      </c>
      <c r="AB8" s="269" t="s">
        <v>5</v>
      </c>
      <c r="AC8" s="269" t="s">
        <v>49</v>
      </c>
      <c r="AD8" s="264" t="s">
        <v>29</v>
      </c>
      <c r="AE8" s="255" t="s">
        <v>34</v>
      </c>
      <c r="AF8" s="255" t="s">
        <v>35</v>
      </c>
      <c r="AG8" s="255" t="s">
        <v>36</v>
      </c>
      <c r="AH8" s="255" t="s">
        <v>38</v>
      </c>
      <c r="AI8" s="255" t="s">
        <v>37</v>
      </c>
      <c r="AJ8" s="25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59"/>
      <c r="B9" s="263"/>
      <c r="C9" s="255"/>
      <c r="D9" s="255"/>
      <c r="E9" s="263"/>
      <c r="F9" s="261"/>
      <c r="G9" s="255"/>
      <c r="H9" s="261"/>
      <c r="I9" s="272"/>
      <c r="J9" s="261"/>
      <c r="K9" s="261"/>
      <c r="L9" s="272"/>
      <c r="M9" s="272"/>
      <c r="N9" s="255"/>
      <c r="O9" s="265"/>
      <c r="P9" s="255"/>
      <c r="Q9" s="261"/>
      <c r="R9" s="7" t="s">
        <v>13</v>
      </c>
      <c r="S9" s="7" t="s">
        <v>17</v>
      </c>
      <c r="T9" s="7" t="s">
        <v>28</v>
      </c>
      <c r="U9" s="7" t="s">
        <v>18</v>
      </c>
      <c r="V9" s="7" t="s">
        <v>21</v>
      </c>
      <c r="W9" s="7" t="s">
        <v>24</v>
      </c>
      <c r="X9" s="269"/>
      <c r="Y9" s="269"/>
      <c r="Z9" s="269"/>
      <c r="AA9" s="269"/>
      <c r="AB9" s="269"/>
      <c r="AC9" s="269"/>
      <c r="AD9" s="265"/>
      <c r="AE9" s="255"/>
      <c r="AF9" s="255"/>
      <c r="AG9" s="255"/>
      <c r="AH9" s="255"/>
      <c r="AI9" s="255"/>
      <c r="AJ9" s="255"/>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row>
    <row r="10" spans="1:68" s="150" customFormat="1" ht="117" hidden="1" customHeight="1" x14ac:dyDescent="0.25">
      <c r="A10" s="283">
        <v>1</v>
      </c>
      <c r="B10" s="274" t="s">
        <v>134</v>
      </c>
      <c r="C10" s="274" t="s">
        <v>212</v>
      </c>
      <c r="D10" s="274" t="s">
        <v>220</v>
      </c>
      <c r="E10" s="286" t="s">
        <v>217</v>
      </c>
      <c r="F10" s="274" t="s">
        <v>123</v>
      </c>
      <c r="G10" s="277">
        <v>12</v>
      </c>
      <c r="H10" s="280" t="str">
        <f>IF(G10&lt;=0,"",IF(G10&lt;=2,"Muy Baja",IF(G10&lt;=24,"Baja",IF(G10&lt;=500,"Media",IF(G10&lt;=5000,"Alta","Muy Alta")))))</f>
        <v>Baja</v>
      </c>
      <c r="I10" s="292">
        <f>IF(H10="","",IF(H10="Muy Baja",0.2,IF(H10="Baja",0.4,IF(H10="Media",0.6,IF(H10="Alta",0.8,IF(H10="Muy Alta",1,))))))</f>
        <v>0.4</v>
      </c>
      <c r="J10" s="295" t="s">
        <v>148</v>
      </c>
      <c r="K10" s="298" t="str">
        <f ca="1">IF(NOT(ISERROR(MATCH(J10,'Tabla Impacto'!$B$221:$B$223,0))),'Tabla Impacto'!$F$223&amp;"Por favor no seleccionar los criterios de impacto(Afectación Económica o presupuestal y Pérdida Reputacional)",J10)</f>
        <v xml:space="preserve">     Entre 10 y 50 SMLMV </v>
      </c>
      <c r="L10" s="280" t="str">
        <f ca="1">IF(OR(K10='Tabla Impacto'!$C$11,K10='Tabla Impacto'!$D$11),"Leve",IF(OR(K10='Tabla Impacto'!$C$12,K10='Tabla Impacto'!$D$12),"Menor",IF(OR(K10='Tabla Impacto'!$C$13,K10='Tabla Impacto'!$D$13),"Moderado",IF(OR(K10='Tabla Impacto'!$C$14,K10='Tabla Impacto'!$D$14),"Mayor",IF(OR(K10='Tabla Impacto'!$C$15,K10='Tabla Impacto'!$D$15),"Catastrófico","")))))</f>
        <v>Menor</v>
      </c>
      <c r="M10" s="292">
        <f ca="1">IF(L10="","",IF(L10="Leve",0.2,IF(L10="Menor",0.4,IF(L10="Moderado",0.6,IF(L10="Mayor",0.8,IF(L10="Catastrófico",1,))))))</f>
        <v>0.4</v>
      </c>
      <c r="N10" s="289"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83">
        <v>1</v>
      </c>
      <c r="P10" s="301" t="s">
        <v>218</v>
      </c>
      <c r="Q10" s="303" t="str">
        <f>IF(OR(R10="Preventivo",R10="Detectivo"),"Probabilidad",IF(R10="Correctivo","Impacto",""))</f>
        <v>Probabilidad</v>
      </c>
      <c r="R10" s="305" t="s">
        <v>14</v>
      </c>
      <c r="S10" s="305" t="s">
        <v>9</v>
      </c>
      <c r="T10" s="307" t="str">
        <f>IF(AND(R10="Preventivo",S10="Automático"),"50%",IF(AND(R10="Preventivo",S10="Manual"),"40%",IF(AND(R10="Detectivo",S10="Automático"),"40%",IF(AND(R10="Detectivo",S10="Manual"),"30%",IF(AND(R10="Correctivo",S10="Automático"),"35%",IF(AND(R10="Correctivo",S10="Manual"),"25%",""))))))</f>
        <v>40%</v>
      </c>
      <c r="U10" s="305" t="s">
        <v>19</v>
      </c>
      <c r="V10" s="305" t="s">
        <v>23</v>
      </c>
      <c r="W10" s="305" t="s">
        <v>119</v>
      </c>
      <c r="X10" s="149">
        <f>IFERROR(IF(Q10="Probabilidad",(I10-(+I10*T10)),IF(Q10="Impacto",I10,"")),"")</f>
        <v>0.24</v>
      </c>
      <c r="Y10" s="309" t="str">
        <f>IFERROR(IF(X10="","",IF(X10&lt;=0.2,"Muy Baja",IF(X10&lt;=0.4,"Baja",IF(X10&lt;=0.6,"Media",IF(X10&lt;=0.8,"Alta","Muy Alta"))))),"")</f>
        <v>Baja</v>
      </c>
      <c r="Z10" s="307">
        <f>+X10</f>
        <v>0.24</v>
      </c>
      <c r="AA10" s="309" t="str">
        <f ca="1">IFERROR(IF(AB10="","",IF(AB10&lt;=0.2,"Leve",IF(AB10&lt;=0.4,"Menor",IF(AB10&lt;=0.6,"Moderado",IF(AB10&lt;=0.8,"Mayor","Catastrófico"))))),"")</f>
        <v>Menor</v>
      </c>
      <c r="AB10" s="307">
        <f ca="1">IFERROR(IF(Q10="Impacto",(M10-(+M10*T10)),IF(Q10="Probabilidad",M10,"")),"")</f>
        <v>0.4</v>
      </c>
      <c r="AC10" s="329"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05" t="s">
        <v>32</v>
      </c>
      <c r="AE10" s="323"/>
      <c r="AF10" s="325"/>
      <c r="AG10" s="327"/>
      <c r="AH10" s="327"/>
      <c r="AI10" s="323"/>
      <c r="AJ10" s="325"/>
    </row>
    <row r="11" spans="1:68" s="151" customFormat="1" ht="96.75" hidden="1" customHeight="1" x14ac:dyDescent="0.3">
      <c r="A11" s="284"/>
      <c r="B11" s="275"/>
      <c r="C11" s="275"/>
      <c r="D11" s="275"/>
      <c r="E11" s="287"/>
      <c r="F11" s="275"/>
      <c r="G11" s="278"/>
      <c r="H11" s="281"/>
      <c r="I11" s="293"/>
      <c r="J11" s="296"/>
      <c r="K11" s="299">
        <f ca="1">IF(NOT(ISERROR(MATCH(J11,_xlfn.ANCHORARRAY(E22),0))),I24&amp;"Por favor no seleccionar los criterios de impacto",J11)</f>
        <v>0</v>
      </c>
      <c r="L11" s="281"/>
      <c r="M11" s="293"/>
      <c r="N11" s="290"/>
      <c r="O11" s="285"/>
      <c r="P11" s="302"/>
      <c r="Q11" s="304"/>
      <c r="R11" s="306"/>
      <c r="S11" s="306"/>
      <c r="T11" s="308"/>
      <c r="U11" s="306"/>
      <c r="V11" s="306"/>
      <c r="W11" s="306"/>
      <c r="X11" s="137" t="str">
        <f>IFERROR(IF(AND(Q10="Probabilidad",Q11="Probabilidad"),(Z10-(+Z10*T11)),IF(Q11="Probabilidad",(I10-(+I10*T11)),IF(Q11="Impacto",Z10,""))),"")</f>
        <v/>
      </c>
      <c r="Y11" s="310"/>
      <c r="Z11" s="308"/>
      <c r="AA11" s="310"/>
      <c r="AB11" s="308"/>
      <c r="AC11" s="330"/>
      <c r="AD11" s="306"/>
      <c r="AE11" s="324"/>
      <c r="AF11" s="326"/>
      <c r="AG11" s="328"/>
      <c r="AH11" s="328"/>
      <c r="AI11" s="324"/>
      <c r="AJ11" s="326"/>
    </row>
    <row r="12" spans="1:68" ht="151.5" hidden="1" customHeight="1" x14ac:dyDescent="0.3">
      <c r="A12" s="284"/>
      <c r="B12" s="275"/>
      <c r="C12" s="275"/>
      <c r="D12" s="275"/>
      <c r="E12" s="287"/>
      <c r="F12" s="275"/>
      <c r="G12" s="278"/>
      <c r="H12" s="281"/>
      <c r="I12" s="293"/>
      <c r="J12" s="296"/>
      <c r="K12" s="299">
        <f ca="1">IF(NOT(ISERROR(MATCH(J12,_xlfn.ANCHORARRAY(E23),0))),I25&amp;"Por favor no seleccionar los criterios de impacto",J12)</f>
        <v>0</v>
      </c>
      <c r="L12" s="281"/>
      <c r="M12" s="293"/>
      <c r="N12" s="290"/>
      <c r="O12" s="139">
        <v>3</v>
      </c>
      <c r="P12" s="136"/>
      <c r="Q12" s="125" t="str">
        <f>IF(OR(R12="Preventivo",R12="Detectivo"),"Probabilidad",IF(R12="Correctivo","Impacto",""))</f>
        <v/>
      </c>
      <c r="R12" s="126"/>
      <c r="S12" s="126"/>
      <c r="T12" s="127" t="str">
        <f t="shared" ref="T12:T15" si="0">IF(AND(R12="Preventivo",S12="Automático"),"50%",IF(AND(R12="Preventivo",S12="Manual"),"40%",IF(AND(R12="Detectivo",S12="Automático"),"40%",IF(AND(R12="Detectivo",S12="Manual"),"30%",IF(AND(R12="Correctivo",S12="Automático"),"35%",IF(AND(R12="Correctivo",S12="Manual"),"25%",""))))))</f>
        <v/>
      </c>
      <c r="U12" s="126"/>
      <c r="V12" s="126"/>
      <c r="W12" s="126"/>
      <c r="X12" s="128" t="str">
        <f>IFERROR(IF(AND(Q11="Probabilidad",Q12="Probabilidad"),(Z11-(+Z11*T12)),IF(AND(Q11="Impacto",Q12="Probabilidad"),(Z10-(+Z10*T12)),IF(Q12="Impacto",Z11,""))),"")</f>
        <v/>
      </c>
      <c r="Y12" s="129" t="str">
        <f t="shared" ref="Y12:Y69" si="1">IFERROR(IF(X12="","",IF(X12&lt;=0.2,"Muy Baja",IF(X12&lt;=0.4,"Baja",IF(X12&lt;=0.6,"Media",IF(X12&lt;=0.8,"Alta","Muy Alta"))))),"")</f>
        <v/>
      </c>
      <c r="Z12" s="130" t="str">
        <f t="shared" ref="Z12:Z15" si="2">+X12</f>
        <v/>
      </c>
      <c r="AA12" s="129" t="str">
        <f t="shared" ref="AA12:AA69" si="3">IFERROR(IF(AB12="","",IF(AB12&lt;=0.2,"Leve",IF(AB12&lt;=0.4,"Menor",IF(AB12&lt;=0.6,"Moderado",IF(AB12&lt;=0.8,"Mayor","Catastrófico"))))),"")</f>
        <v/>
      </c>
      <c r="AB12" s="138" t="str">
        <f>IFERROR(IF(AND(Q11="Impacto",Q12="Impacto"),(AB11-(+AB11*T12)),IF(AND(Q11="Probabilidad",Q12="Impacto"),(AB10-(+AB10*T12)),IF(Q12="Probabilidad",AB11,""))),"")</f>
        <v/>
      </c>
      <c r="AC12" s="131" t="str">
        <f t="shared" ref="AC12:AC15" si="4">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32"/>
      <c r="AE12" s="133"/>
      <c r="AF12" s="134"/>
      <c r="AG12" s="135"/>
      <c r="AH12" s="135"/>
      <c r="AI12" s="133"/>
      <c r="AJ12" s="134"/>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05.75" hidden="1" customHeight="1" x14ac:dyDescent="0.3">
      <c r="A13" s="284"/>
      <c r="B13" s="275"/>
      <c r="C13" s="275"/>
      <c r="D13" s="275"/>
      <c r="E13" s="287"/>
      <c r="F13" s="275"/>
      <c r="G13" s="278"/>
      <c r="H13" s="281"/>
      <c r="I13" s="293"/>
      <c r="J13" s="296"/>
      <c r="K13" s="299">
        <f ca="1">IF(NOT(ISERROR(MATCH(J13,_xlfn.ANCHORARRAY(E24),0))),I26&amp;"Por favor no seleccionar los criterios de impacto",J13)</f>
        <v>0</v>
      </c>
      <c r="L13" s="281"/>
      <c r="M13" s="293"/>
      <c r="N13" s="290"/>
      <c r="O13" s="139">
        <v>4</v>
      </c>
      <c r="P13" s="124"/>
      <c r="Q13" s="125" t="str">
        <f t="shared" ref="Q13:Q15" si="5">IF(OR(R13="Preventivo",R13="Detectivo"),"Probabilidad",IF(R13="Correctivo","Impacto",""))</f>
        <v/>
      </c>
      <c r="R13" s="126"/>
      <c r="S13" s="126"/>
      <c r="T13" s="127" t="str">
        <f t="shared" si="0"/>
        <v/>
      </c>
      <c r="U13" s="126"/>
      <c r="V13" s="126"/>
      <c r="W13" s="126"/>
      <c r="X13" s="128" t="str">
        <f t="shared" ref="X13:X15" si="6">IFERROR(IF(AND(Q12="Probabilidad",Q13="Probabilidad"),(Z12-(+Z12*T13)),IF(AND(Q12="Impacto",Q13="Probabilidad"),(Z11-(+Z11*T13)),IF(Q13="Impacto",Z12,""))),"")</f>
        <v/>
      </c>
      <c r="Y13" s="129" t="str">
        <f t="shared" si="1"/>
        <v/>
      </c>
      <c r="Z13" s="130" t="str">
        <f t="shared" si="2"/>
        <v/>
      </c>
      <c r="AA13" s="129" t="str">
        <f t="shared" si="3"/>
        <v/>
      </c>
      <c r="AB13" s="138" t="str">
        <f t="shared" ref="AB13:AB15" si="7">IFERROR(IF(AND(Q12="Impacto",Q13="Impacto"),(AB12-(+AB12*T13)),IF(AND(Q12="Probabilidad",Q13="Impacto"),(AB11-(+AB11*T13)),IF(Q13="Probabilidad",AB12,""))),"")</f>
        <v/>
      </c>
      <c r="AC13" s="13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2"/>
      <c r="AE13" s="133"/>
      <c r="AF13" s="134"/>
      <c r="AG13" s="135"/>
      <c r="AH13" s="135"/>
      <c r="AI13" s="133"/>
      <c r="AJ13" s="134"/>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hidden="1" customHeight="1" x14ac:dyDescent="0.3">
      <c r="A14" s="284"/>
      <c r="B14" s="275"/>
      <c r="C14" s="275"/>
      <c r="D14" s="275"/>
      <c r="E14" s="287"/>
      <c r="F14" s="275"/>
      <c r="G14" s="278"/>
      <c r="H14" s="281"/>
      <c r="I14" s="293"/>
      <c r="J14" s="296"/>
      <c r="K14" s="299">
        <f ca="1">IF(NOT(ISERROR(MATCH(J14,_xlfn.ANCHORARRAY(E25),0))),I27&amp;"Por favor no seleccionar los criterios de impacto",J14)</f>
        <v>0</v>
      </c>
      <c r="L14" s="281"/>
      <c r="M14" s="293"/>
      <c r="N14" s="290"/>
      <c r="O14" s="139">
        <v>5</v>
      </c>
      <c r="P14" s="124"/>
      <c r="Q14" s="125" t="str">
        <f t="shared" si="5"/>
        <v/>
      </c>
      <c r="R14" s="126"/>
      <c r="S14" s="126"/>
      <c r="T14" s="127" t="str">
        <f t="shared" si="0"/>
        <v/>
      </c>
      <c r="U14" s="126"/>
      <c r="V14" s="126"/>
      <c r="W14" s="126"/>
      <c r="X14" s="128" t="str">
        <f t="shared" si="6"/>
        <v/>
      </c>
      <c r="Y14" s="129" t="str">
        <f t="shared" si="1"/>
        <v/>
      </c>
      <c r="Z14" s="130" t="str">
        <f t="shared" si="2"/>
        <v/>
      </c>
      <c r="AA14" s="129" t="str">
        <f t="shared" si="3"/>
        <v/>
      </c>
      <c r="AB14" s="138" t="str">
        <f t="shared" si="7"/>
        <v/>
      </c>
      <c r="AC14" s="131" t="str">
        <f t="shared" si="4"/>
        <v/>
      </c>
      <c r="AD14" s="132"/>
      <c r="AE14" s="133"/>
      <c r="AF14" s="134"/>
      <c r="AG14" s="135"/>
      <c r="AH14" s="135"/>
      <c r="AI14" s="133"/>
      <c r="AJ14" s="134"/>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hidden="1" customHeight="1" x14ac:dyDescent="0.3">
      <c r="A15" s="285"/>
      <c r="B15" s="276"/>
      <c r="C15" s="276"/>
      <c r="D15" s="276"/>
      <c r="E15" s="288"/>
      <c r="F15" s="276"/>
      <c r="G15" s="279"/>
      <c r="H15" s="282"/>
      <c r="I15" s="294"/>
      <c r="J15" s="297"/>
      <c r="K15" s="300">
        <f ca="1">IF(NOT(ISERROR(MATCH(J15,_xlfn.ANCHORARRAY(E26),0))),I28&amp;"Por favor no seleccionar los criterios de impacto",J15)</f>
        <v>0</v>
      </c>
      <c r="L15" s="282"/>
      <c r="M15" s="294"/>
      <c r="N15" s="291"/>
      <c r="O15" s="139">
        <v>6</v>
      </c>
      <c r="P15" s="124"/>
      <c r="Q15" s="125" t="str">
        <f t="shared" si="5"/>
        <v/>
      </c>
      <c r="R15" s="126"/>
      <c r="S15" s="126"/>
      <c r="T15" s="127" t="str">
        <f t="shared" si="0"/>
        <v/>
      </c>
      <c r="U15" s="126"/>
      <c r="V15" s="126"/>
      <c r="W15" s="126"/>
      <c r="X15" s="128" t="str">
        <f t="shared" si="6"/>
        <v/>
      </c>
      <c r="Y15" s="129" t="str">
        <f t="shared" si="1"/>
        <v/>
      </c>
      <c r="Z15" s="130" t="str">
        <f t="shared" si="2"/>
        <v/>
      </c>
      <c r="AA15" s="129" t="str">
        <f t="shared" si="3"/>
        <v/>
      </c>
      <c r="AB15" s="138" t="str">
        <f t="shared" si="7"/>
        <v/>
      </c>
      <c r="AC15" s="131" t="str">
        <f t="shared" si="4"/>
        <v/>
      </c>
      <c r="AD15" s="132"/>
      <c r="AE15" s="133"/>
      <c r="AF15" s="134"/>
      <c r="AG15" s="135"/>
      <c r="AH15" s="135"/>
      <c r="AI15" s="133"/>
      <c r="AJ15" s="134"/>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49">
        <v>1</v>
      </c>
      <c r="B16" s="240" t="s">
        <v>134</v>
      </c>
      <c r="C16" s="240" t="s">
        <v>222</v>
      </c>
      <c r="D16" s="240" t="s">
        <v>221</v>
      </c>
      <c r="E16" s="252" t="s">
        <v>219</v>
      </c>
      <c r="F16" s="240" t="s">
        <v>123</v>
      </c>
      <c r="G16" s="243">
        <v>900</v>
      </c>
      <c r="H16" s="231" t="str">
        <f>IF(G16&lt;=0,"",IF(G16&lt;=2,"Muy Baja",IF(G16&lt;=24,"Baja",IF(G16&lt;=500,"Media",IF(G16&lt;=5000,"Alta","Muy Alta")))))</f>
        <v>Alta</v>
      </c>
      <c r="I16" s="234">
        <f>IF(H16="","",IF(H16="Muy Baja",0.2,IF(H16="Baja",0.4,IF(H16="Media",0.6,IF(H16="Alta",0.8,IF(H16="Muy Alta",1,))))))</f>
        <v>0.8</v>
      </c>
      <c r="J16" s="246" t="s">
        <v>148</v>
      </c>
      <c r="K16" s="207" t="str">
        <f ca="1">IF(NOT(ISERROR(MATCH(J16,'Tabla Impacto'!$B$221:$B$223,0))),'Tabla Impacto'!$F$223&amp;"Por favor no seleccionar los criterios de impacto(Afectación Económica o presupuestal y Pérdida Reputacional)",J16)</f>
        <v xml:space="preserve">     Entre 10 y 50 SMLMV </v>
      </c>
      <c r="L16" s="231" t="str">
        <f ca="1">IF(OR(K16='Tabla Impacto'!$C$11,K16='Tabla Impacto'!$D$11),"Leve",IF(OR(K16='Tabla Impacto'!$C$12,K16='Tabla Impacto'!$D$12),"Menor",IF(OR(K16='Tabla Impacto'!$C$13,K16='Tabla Impacto'!$D$13),"Moderado",IF(OR(K16='Tabla Impacto'!$C$14,K16='Tabla Impacto'!$D$14),"Mayor",IF(OR(K16='Tabla Impacto'!$C$15,K16='Tabla Impacto'!$D$15),"Catastrófico","")))))</f>
        <v>Menor</v>
      </c>
      <c r="M16" s="234">
        <f ca="1">IF(L16="","",IF(L16="Leve",0.2,IF(L16="Menor",0.4,IF(L16="Moderado",0.6,IF(L16="Mayor",0.8,IF(L16="Catastrófico",1,))))))</f>
        <v>0.4</v>
      </c>
      <c r="N16" s="237"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49">
        <v>2</v>
      </c>
      <c r="P16" s="331" t="s">
        <v>223</v>
      </c>
      <c r="Q16" s="333" t="str">
        <f>IF(OR(R16="Preventivo",R16="Detectivo"),"Probabilidad",IF(R16="Correctivo","Impacto",""))</f>
        <v>Probabilidad</v>
      </c>
      <c r="R16" s="311" t="s">
        <v>14</v>
      </c>
      <c r="S16" s="311" t="s">
        <v>9</v>
      </c>
      <c r="T16" s="315" t="str">
        <f>IF(AND(R16="Preventivo",S16="Automático"),"50%",IF(AND(R16="Preventivo",S16="Manual"),"40%",IF(AND(R16="Detectivo",S16="Automático"),"40%",IF(AND(R16="Detectivo",S16="Manual"),"30%",IF(AND(R16="Correctivo",S16="Automático"),"35%",IF(AND(R16="Correctivo",S16="Manual"),"25%",""))))))</f>
        <v>40%</v>
      </c>
      <c r="U16" s="311" t="s">
        <v>19</v>
      </c>
      <c r="V16" s="311" t="s">
        <v>22</v>
      </c>
      <c r="W16" s="311" t="s">
        <v>119</v>
      </c>
      <c r="X16" s="140">
        <f>IFERROR(IF(Q16="Probabilidad",(I16-(+I16*T16)),IF(Q16="Impacto",I16,"")),"")</f>
        <v>0.48</v>
      </c>
      <c r="Y16" s="313" t="str">
        <f>IFERROR(IF(X16="","",IF(X16&lt;=0.2,"Muy Baja",IF(X16&lt;=0.4,"Baja",IF(X16&lt;=0.6,"Media",IF(X16&lt;=0.8,"Alta","Muy Alta"))))),"")</f>
        <v>Media</v>
      </c>
      <c r="Z16" s="315">
        <f>+X16</f>
        <v>0.48</v>
      </c>
      <c r="AA16" s="313" t="str">
        <f ca="1">IFERROR(IF(AB16="","",IF(AB16&lt;=0.2,"Leve",IF(AB16&lt;=0.4,"Menor",IF(AB16&lt;=0.6,"Moderado",IF(AB16&lt;=0.8,"Mayor","Catastrófico"))))),"")</f>
        <v>Menor</v>
      </c>
      <c r="AB16" s="317">
        <f ca="1">IFERROR(IF(Q16="Impacto",(M16-(+M16*T16)),IF(Q16="Probabilidad",M16,"")),"")</f>
        <v>0.4</v>
      </c>
      <c r="AC16" s="319"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311" t="s">
        <v>32</v>
      </c>
      <c r="AE16" s="216"/>
      <c r="AF16" s="222"/>
      <c r="AG16" s="321"/>
      <c r="AH16" s="321"/>
      <c r="AI16" s="216"/>
      <c r="AJ16" s="222"/>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72" customHeight="1" x14ac:dyDescent="0.3">
      <c r="A17" s="250"/>
      <c r="B17" s="241"/>
      <c r="C17" s="241"/>
      <c r="D17" s="241"/>
      <c r="E17" s="253"/>
      <c r="F17" s="241"/>
      <c r="G17" s="244"/>
      <c r="H17" s="232"/>
      <c r="I17" s="235"/>
      <c r="J17" s="247"/>
      <c r="K17" s="208">
        <f ca="1">IF(NOT(ISERROR(MATCH(J17,_xlfn.ANCHORARRAY(E28),0))),I30&amp;"Por favor no seleccionar los criterios de impacto",J17)</f>
        <v>0</v>
      </c>
      <c r="L17" s="232"/>
      <c r="M17" s="235"/>
      <c r="N17" s="238"/>
      <c r="O17" s="251"/>
      <c r="P17" s="332"/>
      <c r="Q17" s="334"/>
      <c r="R17" s="312"/>
      <c r="S17" s="312"/>
      <c r="T17" s="316"/>
      <c r="U17" s="312"/>
      <c r="V17" s="312"/>
      <c r="W17" s="312"/>
      <c r="X17" s="140" t="str">
        <f>IFERROR(IF(AND(Q16="Probabilidad",Q17="Probabilidad"),(Z16-(+Z16*T17)),IF(Q17="Probabilidad",(I16-(+I16*T17)),IF(Q17="Impacto",Z16,""))),"")</f>
        <v/>
      </c>
      <c r="Y17" s="314"/>
      <c r="Z17" s="316"/>
      <c r="AA17" s="314"/>
      <c r="AB17" s="318"/>
      <c r="AC17" s="320"/>
      <c r="AD17" s="312"/>
      <c r="AE17" s="218"/>
      <c r="AF17" s="224"/>
      <c r="AG17" s="322"/>
      <c r="AH17" s="322"/>
      <c r="AI17" s="218"/>
      <c r="AJ17" s="22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39" hidden="1" customHeight="1" x14ac:dyDescent="0.3">
      <c r="A18" s="250"/>
      <c r="B18" s="241"/>
      <c r="C18" s="241"/>
      <c r="D18" s="241"/>
      <c r="E18" s="253"/>
      <c r="F18" s="241"/>
      <c r="G18" s="244"/>
      <c r="H18" s="232"/>
      <c r="I18" s="235"/>
      <c r="J18" s="247"/>
      <c r="K18" s="208">
        <f ca="1">IF(NOT(ISERROR(MATCH(J18,_xlfn.ANCHORARRAY(E29),0))),I31&amp;"Por favor no seleccionar los criterios de impacto",J18)</f>
        <v>0</v>
      </c>
      <c r="L18" s="232"/>
      <c r="M18" s="235"/>
      <c r="N18" s="238"/>
      <c r="O18" s="139">
        <v>3</v>
      </c>
      <c r="P18" s="136"/>
      <c r="Q18" s="125" t="str">
        <f>IF(OR(R18="Preventivo",R18="Detectivo"),"Probabilidad",IF(R18="Correctivo","Impacto",""))</f>
        <v/>
      </c>
      <c r="R18" s="126"/>
      <c r="S18" s="126"/>
      <c r="T18" s="127" t="str">
        <f t="shared" ref="T18:T21" si="8">IF(AND(R18="Preventivo",S18="Automático"),"50%",IF(AND(R18="Preventivo",S18="Manual"),"40%",IF(AND(R18="Detectivo",S18="Automático"),"40%",IF(AND(R18="Detectivo",S18="Manual"),"30%",IF(AND(R18="Correctivo",S18="Automático"),"35%",IF(AND(R18="Correctivo",S18="Manual"),"25%",""))))))</f>
        <v/>
      </c>
      <c r="U18" s="126"/>
      <c r="V18" s="126"/>
      <c r="W18" s="126"/>
      <c r="X18" s="128" t="str">
        <f>IFERROR(IF(AND(Q17="Probabilidad",Q18="Probabilidad"),(Z17-(+Z17*T18)),IF(AND(Q17="Impacto",Q18="Probabilidad"),(Z16-(+Z16*T18)),IF(Q18="Impacto",Z17,""))),"")</f>
        <v/>
      </c>
      <c r="Y18" s="129" t="str">
        <f t="shared" si="1"/>
        <v/>
      </c>
      <c r="Z18" s="130" t="str">
        <f t="shared" ref="Z18:Z21" si="9">+X18</f>
        <v/>
      </c>
      <c r="AA18" s="129" t="str">
        <f t="shared" si="3"/>
        <v/>
      </c>
      <c r="AB18" s="138" t="str">
        <f>IFERROR(IF(AND(Q17="Impacto",Q18="Impacto"),(AB17-(+AB17*T18)),IF(AND(Q17="Probabilidad",Q18="Impacto"),(AB16-(+AB16*T18)),IF(Q18="Probabilidad",AB17,""))),"")</f>
        <v/>
      </c>
      <c r="AC18" s="131" t="str">
        <f t="shared" ref="AC18" si="10">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32"/>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hidden="1" customHeight="1" x14ac:dyDescent="0.3">
      <c r="A19" s="250"/>
      <c r="B19" s="241"/>
      <c r="C19" s="241"/>
      <c r="D19" s="241"/>
      <c r="E19" s="253"/>
      <c r="F19" s="241"/>
      <c r="G19" s="244"/>
      <c r="H19" s="232"/>
      <c r="I19" s="235"/>
      <c r="J19" s="247"/>
      <c r="K19" s="208">
        <f ca="1">IF(NOT(ISERROR(MATCH(J19,_xlfn.ANCHORARRAY(E30),0))),I32&amp;"Por favor no seleccionar los criterios de impacto",J19)</f>
        <v>0</v>
      </c>
      <c r="L19" s="232"/>
      <c r="M19" s="235"/>
      <c r="N19" s="238"/>
      <c r="O19" s="139">
        <v>4</v>
      </c>
      <c r="P19" s="124"/>
      <c r="Q19" s="125" t="str">
        <f t="shared" ref="Q19:Q21" si="11">IF(OR(R19="Preventivo",R19="Detectivo"),"Probabilidad",IF(R19="Correctivo","Impacto",""))</f>
        <v/>
      </c>
      <c r="R19" s="126"/>
      <c r="S19" s="126"/>
      <c r="T19" s="127" t="str">
        <f t="shared" si="8"/>
        <v/>
      </c>
      <c r="U19" s="126"/>
      <c r="V19" s="126"/>
      <c r="W19" s="126"/>
      <c r="X19" s="128" t="str">
        <f t="shared" ref="X19:X21" si="12">IFERROR(IF(AND(Q18="Probabilidad",Q19="Probabilidad"),(Z18-(+Z18*T19)),IF(AND(Q18="Impacto",Q19="Probabilidad"),(Z17-(+Z17*T19)),IF(Q19="Impacto",Z18,""))),"")</f>
        <v/>
      </c>
      <c r="Y19" s="129" t="str">
        <f t="shared" si="1"/>
        <v/>
      </c>
      <c r="Z19" s="130" t="str">
        <f t="shared" si="9"/>
        <v/>
      </c>
      <c r="AA19" s="129" t="str">
        <f t="shared" si="3"/>
        <v/>
      </c>
      <c r="AB19" s="138" t="str">
        <f t="shared" ref="AB19:AB21" si="13">IFERROR(IF(AND(Q18="Impacto",Q19="Impacto"),(AB18-(+AB18*T19)),IF(AND(Q18="Probabilidad",Q19="Impacto"),(AB17-(+AB17*T19)),IF(Q19="Probabilidad",AB18,""))),"")</f>
        <v/>
      </c>
      <c r="AC19" s="131"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11" hidden="1" customHeight="1" x14ac:dyDescent="0.3">
      <c r="A20" s="250"/>
      <c r="B20" s="241"/>
      <c r="C20" s="241"/>
      <c r="D20" s="241"/>
      <c r="E20" s="253"/>
      <c r="F20" s="241"/>
      <c r="G20" s="244"/>
      <c r="H20" s="232"/>
      <c r="I20" s="235"/>
      <c r="J20" s="247"/>
      <c r="K20" s="208">
        <f ca="1">IF(NOT(ISERROR(MATCH(J20,_xlfn.ANCHORARRAY(E31),0))),I33&amp;"Por favor no seleccionar los criterios de impacto",J20)</f>
        <v>0</v>
      </c>
      <c r="L20" s="232"/>
      <c r="M20" s="235"/>
      <c r="N20" s="238"/>
      <c r="O20" s="139">
        <v>5</v>
      </c>
      <c r="P20" s="124"/>
      <c r="Q20" s="125" t="str">
        <f t="shared" si="11"/>
        <v/>
      </c>
      <c r="R20" s="126"/>
      <c r="S20" s="126"/>
      <c r="T20" s="127" t="str">
        <f t="shared" si="8"/>
        <v/>
      </c>
      <c r="U20" s="126"/>
      <c r="V20" s="126"/>
      <c r="W20" s="126"/>
      <c r="X20" s="128" t="str">
        <f t="shared" si="12"/>
        <v/>
      </c>
      <c r="Y20" s="129" t="str">
        <f t="shared" si="1"/>
        <v/>
      </c>
      <c r="Z20" s="130" t="str">
        <f t="shared" si="9"/>
        <v/>
      </c>
      <c r="AA20" s="129" t="str">
        <f t="shared" si="3"/>
        <v/>
      </c>
      <c r="AB20" s="138" t="str">
        <f t="shared" si="13"/>
        <v/>
      </c>
      <c r="AC20" s="131"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hidden="1" customHeight="1" x14ac:dyDescent="0.3">
      <c r="A21" s="251"/>
      <c r="B21" s="242"/>
      <c r="C21" s="242"/>
      <c r="D21" s="242"/>
      <c r="E21" s="254"/>
      <c r="F21" s="242"/>
      <c r="G21" s="245"/>
      <c r="H21" s="233"/>
      <c r="I21" s="236"/>
      <c r="J21" s="248"/>
      <c r="K21" s="209">
        <f ca="1">IF(NOT(ISERROR(MATCH(J21,_xlfn.ANCHORARRAY(E32),0))),I34&amp;"Por favor no seleccionar los criterios de impacto",J21)</f>
        <v>0</v>
      </c>
      <c r="L21" s="233"/>
      <c r="M21" s="236"/>
      <c r="N21" s="239"/>
      <c r="O21" s="139">
        <v>6</v>
      </c>
      <c r="P21" s="124"/>
      <c r="Q21" s="125" t="str">
        <f t="shared" si="11"/>
        <v/>
      </c>
      <c r="R21" s="126"/>
      <c r="S21" s="126"/>
      <c r="T21" s="127" t="str">
        <f t="shared" si="8"/>
        <v/>
      </c>
      <c r="U21" s="126"/>
      <c r="V21" s="126"/>
      <c r="W21" s="126"/>
      <c r="X21" s="128" t="str">
        <f t="shared" si="12"/>
        <v/>
      </c>
      <c r="Y21" s="129" t="str">
        <f t="shared" si="1"/>
        <v/>
      </c>
      <c r="Z21" s="130" t="str">
        <f t="shared" si="9"/>
        <v/>
      </c>
      <c r="AA21" s="129" t="str">
        <f t="shared" si="3"/>
        <v/>
      </c>
      <c r="AB21" s="138" t="str">
        <f t="shared" si="13"/>
        <v/>
      </c>
      <c r="AC21" s="131" t="str">
        <f t="shared" si="14"/>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hidden="1" customHeight="1" x14ac:dyDescent="0.3">
      <c r="A22" s="213">
        <v>3</v>
      </c>
      <c r="B22" s="216"/>
      <c r="C22" s="216"/>
      <c r="D22" s="216"/>
      <c r="E22" s="219"/>
      <c r="F22" s="216"/>
      <c r="G22" s="222"/>
      <c r="H22" s="225" t="str">
        <f>IF(G22&lt;=0,"",IF(G22&lt;=2,"Muy Baja",IF(G22&lt;=24,"Baja",IF(G22&lt;=500,"Media",IF(G22&lt;=5000,"Alta","Muy Alta")))))</f>
        <v/>
      </c>
      <c r="I22" s="207" t="str">
        <f>IF(H22="","",IF(H22="Muy Baja",0.2,IF(H22="Baja",0.4,IF(H22="Media",0.6,IF(H22="Alta",0.8,IF(H22="Muy Alta",1,))))))</f>
        <v/>
      </c>
      <c r="J22" s="228"/>
      <c r="K22" s="207">
        <f ca="1">IF(NOT(ISERROR(MATCH(J22,'Tabla Impacto'!$B$221:$B$223,0))),'Tabla Impacto'!$F$223&amp;"Por favor no seleccionar los criterios de impacto(Afectación Económica o presupuestal y Pérdida Reputacional)",J22)</f>
        <v>0</v>
      </c>
      <c r="L22" s="225" t="str">
        <f ca="1">IF(OR(K22='Tabla Impacto'!$C$11,K22='Tabla Impacto'!$D$11),"Leve",IF(OR(K22='Tabla Impacto'!$C$12,K22='Tabla Impacto'!$D$12),"Menor",IF(OR(K22='Tabla Impacto'!$C$13,K22='Tabla Impacto'!$D$13),"Moderado",IF(OR(K22='Tabla Impacto'!$C$14,K22='Tabla Impacto'!$D$14),"Mayor",IF(OR(K22='Tabla Impacto'!$C$15,K22='Tabla Impacto'!$D$15),"Catastrófico","")))))</f>
        <v/>
      </c>
      <c r="M22" s="207" t="str">
        <f ca="1">IF(L22="","",IF(L22="Leve",0.2,IF(L22="Menor",0.4,IF(L22="Moderado",0.6,IF(L22="Mayor",0.8,IF(L22="Catastrófico",1,))))))</f>
        <v/>
      </c>
      <c r="N22" s="210"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39">
        <v>1</v>
      </c>
      <c r="P22" s="124"/>
      <c r="Q22" s="125" t="str">
        <f>IF(OR(R22="Preventivo",R22="Detectivo"),"Probabilidad",IF(R22="Correctivo","Impacto",""))</f>
        <v/>
      </c>
      <c r="R22" s="126"/>
      <c r="S22" s="126"/>
      <c r="T22" s="127" t="str">
        <f>IF(AND(R22="Preventivo",S22="Automático"),"50%",IF(AND(R22="Preventivo",S22="Manual"),"40%",IF(AND(R22="Detectivo",S22="Automático"),"40%",IF(AND(R22="Detectivo",S22="Manual"),"30%",IF(AND(R22="Correctivo",S22="Automático"),"35%",IF(AND(R22="Correctivo",S22="Manual"),"25%",""))))))</f>
        <v/>
      </c>
      <c r="U22" s="126"/>
      <c r="V22" s="126"/>
      <c r="W22" s="126"/>
      <c r="X22" s="128" t="str">
        <f>IFERROR(IF(Q22="Probabilidad",(I22-(+I22*T22)),IF(Q22="Impacto",I22,"")),"")</f>
        <v/>
      </c>
      <c r="Y22" s="129" t="str">
        <f>IFERROR(IF(X22="","",IF(X22&lt;=0.2,"Muy Baja",IF(X22&lt;=0.4,"Baja",IF(X22&lt;=0.6,"Media",IF(X22&lt;=0.8,"Alta","Muy Alta"))))),"")</f>
        <v/>
      </c>
      <c r="Z22" s="130" t="str">
        <f>+X22</f>
        <v/>
      </c>
      <c r="AA22" s="129" t="str">
        <f>IFERROR(IF(AB22="","",IF(AB22&lt;=0.2,"Leve",IF(AB22&lt;=0.4,"Menor",IF(AB22&lt;=0.6,"Moderado",IF(AB22&lt;=0.8,"Mayor","Catastrófico"))))),"")</f>
        <v/>
      </c>
      <c r="AB22" s="138" t="str">
        <f>IFERROR(IF(Q22="Impacto",(M22-(+M22*T22)),IF(Q22="Probabilidad",M22,"")),"")</f>
        <v/>
      </c>
      <c r="AC22" s="131"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2"/>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90" hidden="1" customHeight="1" x14ac:dyDescent="0.3">
      <c r="A23" s="214"/>
      <c r="B23" s="217"/>
      <c r="C23" s="217"/>
      <c r="D23" s="217"/>
      <c r="E23" s="220"/>
      <c r="F23" s="217"/>
      <c r="G23" s="223"/>
      <c r="H23" s="226"/>
      <c r="I23" s="208"/>
      <c r="J23" s="229"/>
      <c r="K23" s="208">
        <f t="shared" ref="K23:K27" ca="1" si="15">IF(NOT(ISERROR(MATCH(J23,_xlfn.ANCHORARRAY(E34),0))),I36&amp;"Por favor no seleccionar los criterios de impacto",J23)</f>
        <v>0</v>
      </c>
      <c r="L23" s="226"/>
      <c r="M23" s="208"/>
      <c r="N23" s="211"/>
      <c r="O23" s="139">
        <v>2</v>
      </c>
      <c r="P23" s="124"/>
      <c r="Q23" s="125" t="str">
        <f>IF(OR(R23="Preventivo",R23="Detectivo"),"Probabilidad",IF(R23="Correctivo","Impacto",""))</f>
        <v/>
      </c>
      <c r="R23" s="126"/>
      <c r="S23" s="126"/>
      <c r="T23" s="127" t="str">
        <f t="shared" ref="T23:T27" si="16">IF(AND(R23="Preventivo",S23="Automático"),"50%",IF(AND(R23="Preventivo",S23="Manual"),"40%",IF(AND(R23="Detectivo",S23="Automático"),"40%",IF(AND(R23="Detectivo",S23="Manual"),"30%",IF(AND(R23="Correctivo",S23="Automático"),"35%",IF(AND(R23="Correctivo",S23="Manual"),"25%",""))))))</f>
        <v/>
      </c>
      <c r="U23" s="126"/>
      <c r="V23" s="126"/>
      <c r="W23" s="126"/>
      <c r="X23" s="137" t="str">
        <f>IFERROR(IF(AND(Q22="Probabilidad",Q23="Probabilidad"),(Z22-(+Z22*T23)),IF(Q23="Probabilidad",(I22-(+I22*T23)),IF(Q23="Impacto",Z22,""))),"")</f>
        <v/>
      </c>
      <c r="Y23" s="129" t="str">
        <f t="shared" si="1"/>
        <v/>
      </c>
      <c r="Z23" s="130" t="str">
        <f t="shared" ref="Z23:Z27" si="17">+X23</f>
        <v/>
      </c>
      <c r="AA23" s="129" t="str">
        <f t="shared" si="3"/>
        <v/>
      </c>
      <c r="AB23" s="138" t="str">
        <f>IFERROR(IF(AND(Q22="Impacto",Q23="Impacto"),(AB22-(+AB22*T23)),IF(Q23="Impacto",(M22-(+M22*T23)),IF(Q23="Probabilidad",AB22,""))),"")</f>
        <v/>
      </c>
      <c r="AC23" s="131"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2"/>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43.5" hidden="1" customHeight="1" x14ac:dyDescent="0.3">
      <c r="A24" s="214"/>
      <c r="B24" s="217"/>
      <c r="C24" s="217"/>
      <c r="D24" s="217"/>
      <c r="E24" s="220"/>
      <c r="F24" s="217"/>
      <c r="G24" s="223"/>
      <c r="H24" s="226"/>
      <c r="I24" s="208"/>
      <c r="J24" s="229"/>
      <c r="K24" s="208">
        <f t="shared" ca="1" si="15"/>
        <v>0</v>
      </c>
      <c r="L24" s="226"/>
      <c r="M24" s="208"/>
      <c r="N24" s="211"/>
      <c r="O24" s="139">
        <v>3</v>
      </c>
      <c r="P24" s="136"/>
      <c r="Q24" s="125" t="str">
        <f>IF(OR(R24="Preventivo",R24="Detectivo"),"Probabilidad",IF(R24="Correctivo","Impacto",""))</f>
        <v/>
      </c>
      <c r="R24" s="126"/>
      <c r="S24" s="126"/>
      <c r="T24" s="127" t="str">
        <f t="shared" si="16"/>
        <v/>
      </c>
      <c r="U24" s="126"/>
      <c r="V24" s="126"/>
      <c r="W24" s="126"/>
      <c r="X24" s="128" t="str">
        <f>IFERROR(IF(AND(Q23="Probabilidad",Q24="Probabilidad"),(Z23-(+Z23*T24)),IF(AND(Q23="Impacto",Q24="Probabilidad"),(Z22-(+Z22*T24)),IF(Q24="Impacto",Z23,""))),"")</f>
        <v/>
      </c>
      <c r="Y24" s="129" t="str">
        <f t="shared" si="1"/>
        <v/>
      </c>
      <c r="Z24" s="130" t="str">
        <f t="shared" si="17"/>
        <v/>
      </c>
      <c r="AA24" s="129" t="str">
        <f t="shared" si="3"/>
        <v/>
      </c>
      <c r="AB24" s="138" t="str">
        <f>IFERROR(IF(AND(Q23="Impacto",Q24="Impacto"),(AB23-(+AB23*T24)),IF(AND(Q23="Probabilidad",Q24="Impacto"),(AB22-(+AB22*T24)),IF(Q24="Probabilidad",AB23,""))),"")</f>
        <v/>
      </c>
      <c r="AC24" s="131" t="str">
        <f t="shared" si="18"/>
        <v/>
      </c>
      <c r="AD24" s="132"/>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hidden="1" customHeight="1" x14ac:dyDescent="0.3">
      <c r="A25" s="214"/>
      <c r="B25" s="217"/>
      <c r="C25" s="217"/>
      <c r="D25" s="217"/>
      <c r="E25" s="220"/>
      <c r="F25" s="217"/>
      <c r="G25" s="223"/>
      <c r="H25" s="226"/>
      <c r="I25" s="208"/>
      <c r="J25" s="229"/>
      <c r="K25" s="208">
        <f t="shared" ca="1" si="15"/>
        <v>0</v>
      </c>
      <c r="L25" s="226"/>
      <c r="M25" s="208"/>
      <c r="N25" s="211"/>
      <c r="O25" s="139">
        <v>4</v>
      </c>
      <c r="P25" s="124"/>
      <c r="Q25" s="125" t="str">
        <f t="shared" ref="Q25:Q27" si="19">IF(OR(R25="Preventivo",R25="Detectivo"),"Probabilidad",IF(R25="Correctivo","Impacto",""))</f>
        <v/>
      </c>
      <c r="R25" s="126"/>
      <c r="S25" s="126"/>
      <c r="T25" s="127" t="str">
        <f t="shared" si="16"/>
        <v/>
      </c>
      <c r="U25" s="126"/>
      <c r="V25" s="126"/>
      <c r="W25" s="126"/>
      <c r="X25" s="128" t="str">
        <f t="shared" ref="X25:X27" si="20">IFERROR(IF(AND(Q24="Probabilidad",Q25="Probabilidad"),(Z24-(+Z24*T25)),IF(AND(Q24="Impacto",Q25="Probabilidad"),(Z23-(+Z23*T25)),IF(Q25="Impacto",Z24,""))),"")</f>
        <v/>
      </c>
      <c r="Y25" s="129" t="str">
        <f t="shared" si="1"/>
        <v/>
      </c>
      <c r="Z25" s="130" t="str">
        <f t="shared" si="17"/>
        <v/>
      </c>
      <c r="AA25" s="129" t="str">
        <f t="shared" si="3"/>
        <v/>
      </c>
      <c r="AB25" s="138" t="str">
        <f t="shared" ref="AB25:AB27" si="21">IFERROR(IF(AND(Q24="Impacto",Q25="Impacto"),(AB24-(+AB24*T25)),IF(AND(Q24="Probabilidad",Q25="Impacto"),(AB23-(+AB23*T25)),IF(Q25="Probabilidad",AB24,""))),"")</f>
        <v/>
      </c>
      <c r="AC25" s="131"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2"/>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hidden="1" customHeight="1" x14ac:dyDescent="0.3">
      <c r="A26" s="214"/>
      <c r="B26" s="217"/>
      <c r="C26" s="217"/>
      <c r="D26" s="217"/>
      <c r="E26" s="220"/>
      <c r="F26" s="217"/>
      <c r="G26" s="223"/>
      <c r="H26" s="226"/>
      <c r="I26" s="208"/>
      <c r="J26" s="229"/>
      <c r="K26" s="208">
        <f t="shared" ca="1" si="15"/>
        <v>0</v>
      </c>
      <c r="L26" s="226"/>
      <c r="M26" s="208"/>
      <c r="N26" s="211"/>
      <c r="O26" s="139">
        <v>5</v>
      </c>
      <c r="P26" s="124"/>
      <c r="Q26" s="125" t="str">
        <f t="shared" si="19"/>
        <v/>
      </c>
      <c r="R26" s="126"/>
      <c r="S26" s="126"/>
      <c r="T26" s="127" t="str">
        <f t="shared" si="16"/>
        <v/>
      </c>
      <c r="U26" s="126"/>
      <c r="V26" s="126"/>
      <c r="W26" s="126"/>
      <c r="X26" s="128" t="str">
        <f t="shared" si="20"/>
        <v/>
      </c>
      <c r="Y26" s="129" t="str">
        <f t="shared" si="1"/>
        <v/>
      </c>
      <c r="Z26" s="130" t="str">
        <f t="shared" si="17"/>
        <v/>
      </c>
      <c r="AA26" s="129" t="str">
        <f t="shared" si="3"/>
        <v/>
      </c>
      <c r="AB26" s="138" t="str">
        <f t="shared" si="21"/>
        <v/>
      </c>
      <c r="AC26" s="131"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hidden="1" customHeight="1" x14ac:dyDescent="0.3">
      <c r="A27" s="215"/>
      <c r="B27" s="218"/>
      <c r="C27" s="218"/>
      <c r="D27" s="218"/>
      <c r="E27" s="221"/>
      <c r="F27" s="218"/>
      <c r="G27" s="224"/>
      <c r="H27" s="227"/>
      <c r="I27" s="209"/>
      <c r="J27" s="230"/>
      <c r="K27" s="209">
        <f t="shared" ca="1" si="15"/>
        <v>0</v>
      </c>
      <c r="L27" s="227"/>
      <c r="M27" s="209"/>
      <c r="N27" s="212"/>
      <c r="O27" s="139">
        <v>6</v>
      </c>
      <c r="P27" s="124"/>
      <c r="Q27" s="125" t="str">
        <f t="shared" si="19"/>
        <v/>
      </c>
      <c r="R27" s="126"/>
      <c r="S27" s="126"/>
      <c r="T27" s="127" t="str">
        <f t="shared" si="16"/>
        <v/>
      </c>
      <c r="U27" s="126"/>
      <c r="V27" s="126"/>
      <c r="W27" s="126"/>
      <c r="X27" s="128" t="str">
        <f t="shared" si="20"/>
        <v/>
      </c>
      <c r="Y27" s="129" t="str">
        <f t="shared" si="1"/>
        <v/>
      </c>
      <c r="Z27" s="130" t="str">
        <f t="shared" si="17"/>
        <v/>
      </c>
      <c r="AA27" s="129" t="str">
        <f t="shared" si="3"/>
        <v/>
      </c>
      <c r="AB27" s="138" t="str">
        <f t="shared" si="21"/>
        <v/>
      </c>
      <c r="AC27" s="131" t="str">
        <f t="shared" si="22"/>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hidden="1" customHeight="1" x14ac:dyDescent="0.3">
      <c r="A28" s="213">
        <v>4</v>
      </c>
      <c r="B28" s="216"/>
      <c r="C28" s="216"/>
      <c r="D28" s="216"/>
      <c r="E28" s="219"/>
      <c r="F28" s="216"/>
      <c r="G28" s="222"/>
      <c r="H28" s="225" t="str">
        <f>IF(G28&lt;=0,"",IF(G28&lt;=2,"Muy Baja",IF(G28&lt;=24,"Baja",IF(G28&lt;=500,"Media",IF(G28&lt;=5000,"Alta","Muy Alta")))))</f>
        <v/>
      </c>
      <c r="I28" s="207" t="str">
        <f>IF(H28="","",IF(H28="Muy Baja",0.2,IF(H28="Baja",0.4,IF(H28="Media",0.6,IF(H28="Alta",0.8,IF(H28="Muy Alta",1,))))))</f>
        <v/>
      </c>
      <c r="J28" s="228"/>
      <c r="K28" s="207">
        <f ca="1">IF(NOT(ISERROR(MATCH(J28,'Tabla Impacto'!$B$221:$B$223,0))),'Tabla Impacto'!$F$223&amp;"Por favor no seleccionar los criterios de impacto(Afectación Económica o presupuestal y Pérdida Reputacional)",J28)</f>
        <v>0</v>
      </c>
      <c r="L28" s="225" t="str">
        <f ca="1">IF(OR(K28='Tabla Impacto'!$C$11,K28='Tabla Impacto'!$D$11),"Leve",IF(OR(K28='Tabla Impacto'!$C$12,K28='Tabla Impacto'!$D$12),"Menor",IF(OR(K28='Tabla Impacto'!$C$13,K28='Tabla Impacto'!$D$13),"Moderado",IF(OR(K28='Tabla Impacto'!$C$14,K28='Tabla Impacto'!$D$14),"Mayor",IF(OR(K28='Tabla Impacto'!$C$15,K28='Tabla Impacto'!$D$15),"Catastrófico","")))))</f>
        <v/>
      </c>
      <c r="M28" s="207" t="str">
        <f ca="1">IF(L28="","",IF(L28="Leve",0.2,IF(L28="Menor",0.4,IF(L28="Moderado",0.6,IF(L28="Mayor",0.8,IF(L28="Catastrófico",1,))))))</f>
        <v/>
      </c>
      <c r="N28" s="210"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39">
        <v>1</v>
      </c>
      <c r="P28" s="124"/>
      <c r="Q28" s="125" t="str">
        <f>IF(OR(R28="Preventivo",R28="Detectivo"),"Probabilidad",IF(R28="Correctivo","Impacto",""))</f>
        <v/>
      </c>
      <c r="R28" s="126"/>
      <c r="S28" s="126"/>
      <c r="T28" s="127" t="str">
        <f>IF(AND(R28="Preventivo",S28="Automático"),"50%",IF(AND(R28="Preventivo",S28="Manual"),"40%",IF(AND(R28="Detectivo",S28="Automático"),"40%",IF(AND(R28="Detectivo",S28="Manual"),"30%",IF(AND(R28="Correctivo",S28="Automático"),"35%",IF(AND(R28="Correctivo",S28="Manual"),"25%",""))))))</f>
        <v/>
      </c>
      <c r="U28" s="126"/>
      <c r="V28" s="126"/>
      <c r="W28" s="126"/>
      <c r="X28" s="128" t="str">
        <f>IFERROR(IF(Q28="Probabilidad",(I28-(+I28*T28)),IF(Q28="Impacto",I28,"")),"")</f>
        <v/>
      </c>
      <c r="Y28" s="129" t="str">
        <f>IFERROR(IF(X28="","",IF(X28&lt;=0.2,"Muy Baja",IF(X28&lt;=0.4,"Baja",IF(X28&lt;=0.6,"Media",IF(X28&lt;=0.8,"Alta","Muy Alta"))))),"")</f>
        <v/>
      </c>
      <c r="Z28" s="130" t="str">
        <f>+X28</f>
        <v/>
      </c>
      <c r="AA28" s="129" t="str">
        <f>IFERROR(IF(AB28="","",IF(AB28&lt;=0.2,"Leve",IF(AB28&lt;=0.4,"Menor",IF(AB28&lt;=0.6,"Moderado",IF(AB28&lt;=0.8,"Mayor","Catastrófico"))))),"")</f>
        <v/>
      </c>
      <c r="AB28" s="138" t="str">
        <f>IFERROR(IF(Q28="Impacto",(M28-(+M28*T28)),IF(Q28="Probabilidad",M28,"")),"")</f>
        <v/>
      </c>
      <c r="AC28" s="131"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2"/>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0" hidden="1" customHeight="1" x14ac:dyDescent="0.3">
      <c r="A29" s="214"/>
      <c r="B29" s="217"/>
      <c r="C29" s="217"/>
      <c r="D29" s="217"/>
      <c r="E29" s="220"/>
      <c r="F29" s="217"/>
      <c r="G29" s="223"/>
      <c r="H29" s="226"/>
      <c r="I29" s="208"/>
      <c r="J29" s="229"/>
      <c r="K29" s="208">
        <f t="shared" ref="K29:K33" ca="1" si="23">IF(NOT(ISERROR(MATCH(J29,_xlfn.ANCHORARRAY(E40),0))),I42&amp;"Por favor no seleccionar los criterios de impacto",J29)</f>
        <v>0</v>
      </c>
      <c r="L29" s="226"/>
      <c r="M29" s="208"/>
      <c r="N29" s="211"/>
      <c r="O29" s="139">
        <v>2</v>
      </c>
      <c r="P29" s="124"/>
      <c r="Q29" s="125" t="str">
        <f>IF(OR(R29="Preventivo",R29="Detectivo"),"Probabilidad",IF(R29="Correctivo","Impacto",""))</f>
        <v/>
      </c>
      <c r="R29" s="126"/>
      <c r="S29" s="126"/>
      <c r="T29" s="127" t="str">
        <f t="shared" ref="T29:T33" si="24">IF(AND(R29="Preventivo",S29="Automático"),"50%",IF(AND(R29="Preventivo",S29="Manual"),"40%",IF(AND(R29="Detectivo",S29="Automático"),"40%",IF(AND(R29="Detectivo",S29="Manual"),"30%",IF(AND(R29="Correctivo",S29="Automático"),"35%",IF(AND(R29="Correctivo",S29="Manual"),"25%",""))))))</f>
        <v/>
      </c>
      <c r="U29" s="126"/>
      <c r="V29" s="126"/>
      <c r="W29" s="126"/>
      <c r="X29" s="128" t="str">
        <f>IFERROR(IF(AND(Q28="Probabilidad",Q29="Probabilidad"),(Z28-(+Z28*T29)),IF(Q29="Probabilidad",(I28-(+I28*T29)),IF(Q29="Impacto",Z28,""))),"")</f>
        <v/>
      </c>
      <c r="Y29" s="129" t="str">
        <f t="shared" si="1"/>
        <v/>
      </c>
      <c r="Z29" s="130" t="str">
        <f t="shared" ref="Z29:Z33" si="25">+X29</f>
        <v/>
      </c>
      <c r="AA29" s="129" t="str">
        <f t="shared" si="3"/>
        <v/>
      </c>
      <c r="AB29" s="138" t="str">
        <f>IFERROR(IF(AND(Q28="Impacto",Q29="Impacto"),(AB28-(+AB28*T29)),IF(Q29="Impacto",(M28-(+M28*T29)),IF(Q29="Probabilidad",AB28,""))),"")</f>
        <v/>
      </c>
      <c r="AC29" s="131"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2"/>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hidden="1" customHeight="1" x14ac:dyDescent="0.3">
      <c r="A30" s="214"/>
      <c r="B30" s="217"/>
      <c r="C30" s="217"/>
      <c r="D30" s="217"/>
      <c r="E30" s="220"/>
      <c r="F30" s="217"/>
      <c r="G30" s="223"/>
      <c r="H30" s="226"/>
      <c r="I30" s="208"/>
      <c r="J30" s="229"/>
      <c r="K30" s="208">
        <f t="shared" ca="1" si="23"/>
        <v>0</v>
      </c>
      <c r="L30" s="226"/>
      <c r="M30" s="208"/>
      <c r="N30" s="211"/>
      <c r="O30" s="139">
        <v>3</v>
      </c>
      <c r="P30" s="136"/>
      <c r="Q30" s="125" t="str">
        <f>IF(OR(R30="Preventivo",R30="Detectivo"),"Probabilidad",IF(R30="Correctivo","Impacto",""))</f>
        <v/>
      </c>
      <c r="R30" s="126"/>
      <c r="S30" s="126"/>
      <c r="T30" s="127" t="str">
        <f t="shared" si="24"/>
        <v/>
      </c>
      <c r="U30" s="126"/>
      <c r="V30" s="126"/>
      <c r="W30" s="126"/>
      <c r="X30" s="128" t="str">
        <f>IFERROR(IF(AND(Q29="Probabilidad",Q30="Probabilidad"),(Z29-(+Z29*T30)),IF(AND(Q29="Impacto",Q30="Probabilidad"),(Z28-(+Z28*T30)),IF(Q30="Impacto",Z29,""))),"")</f>
        <v/>
      </c>
      <c r="Y30" s="129" t="str">
        <f t="shared" si="1"/>
        <v/>
      </c>
      <c r="Z30" s="130" t="str">
        <f t="shared" si="25"/>
        <v/>
      </c>
      <c r="AA30" s="129" t="str">
        <f t="shared" si="3"/>
        <v/>
      </c>
      <c r="AB30" s="138" t="str">
        <f>IFERROR(IF(AND(Q29="Impacto",Q30="Impacto"),(AB29-(+AB29*T30)),IF(AND(Q29="Probabilidad",Q30="Impacto"),(AB28-(+AB28*T30)),IF(Q30="Probabilidad",AB29,""))),"")</f>
        <v/>
      </c>
      <c r="AC30" s="131" t="str">
        <f t="shared" si="26"/>
        <v/>
      </c>
      <c r="AD30" s="132"/>
      <c r="AE30" s="133"/>
      <c r="AF30" s="134"/>
      <c r="AG30" s="135"/>
      <c r="AH30" s="135"/>
      <c r="AI30" s="133"/>
      <c r="AJ30" s="134"/>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hidden="1" customHeight="1" x14ac:dyDescent="0.3">
      <c r="A31" s="214"/>
      <c r="B31" s="217"/>
      <c r="C31" s="217"/>
      <c r="D31" s="217"/>
      <c r="E31" s="220"/>
      <c r="F31" s="217"/>
      <c r="G31" s="223"/>
      <c r="H31" s="226"/>
      <c r="I31" s="208"/>
      <c r="J31" s="229"/>
      <c r="K31" s="208">
        <f t="shared" ca="1" si="23"/>
        <v>0</v>
      </c>
      <c r="L31" s="226"/>
      <c r="M31" s="208"/>
      <c r="N31" s="211"/>
      <c r="O31" s="139">
        <v>4</v>
      </c>
      <c r="P31" s="124"/>
      <c r="Q31" s="125" t="str">
        <f t="shared" ref="Q31:Q33" si="27">IF(OR(R31="Preventivo",R31="Detectivo"),"Probabilidad",IF(R31="Correctivo","Impacto",""))</f>
        <v/>
      </c>
      <c r="R31" s="126"/>
      <c r="S31" s="126"/>
      <c r="T31" s="127" t="str">
        <f t="shared" si="24"/>
        <v/>
      </c>
      <c r="U31" s="126"/>
      <c r="V31" s="126"/>
      <c r="W31" s="126"/>
      <c r="X31" s="128" t="str">
        <f t="shared" ref="X31:X33" si="28">IFERROR(IF(AND(Q30="Probabilidad",Q31="Probabilidad"),(Z30-(+Z30*T31)),IF(AND(Q30="Impacto",Q31="Probabilidad"),(Z29-(+Z29*T31)),IF(Q31="Impacto",Z30,""))),"")</f>
        <v/>
      </c>
      <c r="Y31" s="129" t="str">
        <f t="shared" si="1"/>
        <v/>
      </c>
      <c r="Z31" s="130" t="str">
        <f t="shared" si="25"/>
        <v/>
      </c>
      <c r="AA31" s="129" t="str">
        <f t="shared" si="3"/>
        <v/>
      </c>
      <c r="AB31" s="138" t="str">
        <f t="shared" ref="AB31:AB33" si="29">IFERROR(IF(AND(Q30="Impacto",Q31="Impacto"),(AB30-(+AB30*T31)),IF(AND(Q30="Probabilidad",Q31="Impacto"),(AB29-(+AB29*T31)),IF(Q31="Probabilidad",AB30,""))),"")</f>
        <v/>
      </c>
      <c r="AC31" s="131"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hidden="1" customHeight="1" x14ac:dyDescent="0.3">
      <c r="A32" s="214"/>
      <c r="B32" s="217"/>
      <c r="C32" s="217"/>
      <c r="D32" s="217"/>
      <c r="E32" s="220"/>
      <c r="F32" s="217"/>
      <c r="G32" s="223"/>
      <c r="H32" s="226"/>
      <c r="I32" s="208"/>
      <c r="J32" s="229"/>
      <c r="K32" s="208">
        <f t="shared" ca="1" si="23"/>
        <v>0</v>
      </c>
      <c r="L32" s="226"/>
      <c r="M32" s="208"/>
      <c r="N32" s="211"/>
      <c r="O32" s="139">
        <v>5</v>
      </c>
      <c r="P32" s="124"/>
      <c r="Q32" s="125" t="str">
        <f t="shared" si="27"/>
        <v/>
      </c>
      <c r="R32" s="126"/>
      <c r="S32" s="126"/>
      <c r="T32" s="127" t="str">
        <f t="shared" si="24"/>
        <v/>
      </c>
      <c r="U32" s="126"/>
      <c r="V32" s="126"/>
      <c r="W32" s="126"/>
      <c r="X32" s="137" t="str">
        <f t="shared" si="28"/>
        <v/>
      </c>
      <c r="Y32" s="129" t="str">
        <f>IFERROR(IF(X32="","",IF(X32&lt;=0.2,"Muy Baja",IF(X32&lt;=0.4,"Baja",IF(X32&lt;=0.6,"Media",IF(X32&lt;=0.8,"Alta","Muy Alta"))))),"")</f>
        <v/>
      </c>
      <c r="Z32" s="130" t="str">
        <f t="shared" si="25"/>
        <v/>
      </c>
      <c r="AA32" s="129" t="str">
        <f t="shared" si="3"/>
        <v/>
      </c>
      <c r="AB32" s="138" t="str">
        <f t="shared" si="29"/>
        <v/>
      </c>
      <c r="AC32" s="131"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2"/>
      <c r="AE32" s="133"/>
      <c r="AF32" s="134"/>
      <c r="AG32" s="135"/>
      <c r="AH32" s="135"/>
      <c r="AI32" s="133"/>
      <c r="AJ32" s="134"/>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hidden="1" customHeight="1" x14ac:dyDescent="0.3">
      <c r="A33" s="215"/>
      <c r="B33" s="218"/>
      <c r="C33" s="218"/>
      <c r="D33" s="218"/>
      <c r="E33" s="221"/>
      <c r="F33" s="218"/>
      <c r="G33" s="224"/>
      <c r="H33" s="227"/>
      <c r="I33" s="209"/>
      <c r="J33" s="230"/>
      <c r="K33" s="209">
        <f t="shared" ca="1" si="23"/>
        <v>0</v>
      </c>
      <c r="L33" s="227"/>
      <c r="M33" s="209"/>
      <c r="N33" s="212"/>
      <c r="O33" s="139">
        <v>6</v>
      </c>
      <c r="P33" s="124"/>
      <c r="Q33" s="125" t="str">
        <f t="shared" si="27"/>
        <v/>
      </c>
      <c r="R33" s="126"/>
      <c r="S33" s="126"/>
      <c r="T33" s="127" t="str">
        <f t="shared" si="24"/>
        <v/>
      </c>
      <c r="U33" s="126"/>
      <c r="V33" s="126"/>
      <c r="W33" s="126"/>
      <c r="X33" s="128" t="str">
        <f t="shared" si="28"/>
        <v/>
      </c>
      <c r="Y33" s="129" t="str">
        <f t="shared" si="1"/>
        <v/>
      </c>
      <c r="Z33" s="130" t="str">
        <f t="shared" si="25"/>
        <v/>
      </c>
      <c r="AA33" s="129" t="str">
        <f t="shared" si="3"/>
        <v/>
      </c>
      <c r="AB33" s="138" t="str">
        <f t="shared" si="29"/>
        <v/>
      </c>
      <c r="AC33" s="131" t="str">
        <f t="shared" si="30"/>
        <v/>
      </c>
      <c r="AD33" s="132"/>
      <c r="AE33" s="133"/>
      <c r="AF33" s="134"/>
      <c r="AG33" s="135"/>
      <c r="AH33" s="135"/>
      <c r="AI33" s="133"/>
      <c r="AJ33" s="134"/>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hidden="1" customHeight="1" x14ac:dyDescent="0.3">
      <c r="A34" s="213">
        <v>5</v>
      </c>
      <c r="B34" s="216"/>
      <c r="C34" s="216"/>
      <c r="D34" s="216"/>
      <c r="E34" s="219"/>
      <c r="F34" s="216"/>
      <c r="G34" s="222"/>
      <c r="H34" s="225" t="str">
        <f>IF(G34&lt;=0,"",IF(G34&lt;=2,"Muy Baja",IF(G34&lt;=24,"Baja",IF(G34&lt;=500,"Media",IF(G34&lt;=5000,"Alta","Muy Alta")))))</f>
        <v/>
      </c>
      <c r="I34" s="207" t="str">
        <f>IF(H34="","",IF(H34="Muy Baja",0.2,IF(H34="Baja",0.4,IF(H34="Media",0.6,IF(H34="Alta",0.8,IF(H34="Muy Alta",1,))))))</f>
        <v/>
      </c>
      <c r="J34" s="228"/>
      <c r="K34" s="207">
        <f ca="1">IF(NOT(ISERROR(MATCH(J34,'Tabla Impacto'!$B$221:$B$223,0))),'Tabla Impacto'!$F$223&amp;"Por favor no seleccionar los criterios de impacto(Afectación Económica o presupuestal y Pérdida Reputacional)",J34)</f>
        <v>0</v>
      </c>
      <c r="L34" s="225" t="str">
        <f ca="1">IF(OR(K34='Tabla Impacto'!$C$11,K34='Tabla Impacto'!$D$11),"Leve",IF(OR(K34='Tabla Impacto'!$C$12,K34='Tabla Impacto'!$D$12),"Menor",IF(OR(K34='Tabla Impacto'!$C$13,K34='Tabla Impacto'!$D$13),"Moderado",IF(OR(K34='Tabla Impacto'!$C$14,K34='Tabla Impacto'!$D$14),"Mayor",IF(OR(K34='Tabla Impacto'!$C$15,K34='Tabla Impacto'!$D$15),"Catastrófico","")))))</f>
        <v/>
      </c>
      <c r="M34" s="207" t="str">
        <f ca="1">IF(L34="","",IF(L34="Leve",0.2,IF(L34="Menor",0.4,IF(L34="Moderado",0.6,IF(L34="Mayor",0.8,IF(L34="Catastrófico",1,))))))</f>
        <v/>
      </c>
      <c r="N34" s="210"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39">
        <v>1</v>
      </c>
      <c r="P34" s="124"/>
      <c r="Q34" s="125" t="str">
        <f>IF(OR(R34="Preventivo",R34="Detectivo"),"Probabilidad",IF(R34="Correctivo","Impacto",""))</f>
        <v/>
      </c>
      <c r="R34" s="126"/>
      <c r="S34" s="126"/>
      <c r="T34" s="127" t="str">
        <f>IF(AND(R34="Preventivo",S34="Automático"),"50%",IF(AND(R34="Preventivo",S34="Manual"),"40%",IF(AND(R34="Detectivo",S34="Automático"),"40%",IF(AND(R34="Detectivo",S34="Manual"),"30%",IF(AND(R34="Correctivo",S34="Automático"),"35%",IF(AND(R34="Correctivo",S34="Manual"),"25%",""))))))</f>
        <v/>
      </c>
      <c r="U34" s="126"/>
      <c r="V34" s="126"/>
      <c r="W34" s="126"/>
      <c r="X34" s="128" t="str">
        <f>IFERROR(IF(Q34="Probabilidad",(I34-(+I34*T34)),IF(Q34="Impacto",I34,"")),"")</f>
        <v/>
      </c>
      <c r="Y34" s="129" t="str">
        <f>IFERROR(IF(X34="","",IF(X34&lt;=0.2,"Muy Baja",IF(X34&lt;=0.4,"Baja",IF(X34&lt;=0.6,"Media",IF(X34&lt;=0.8,"Alta","Muy Alta"))))),"")</f>
        <v/>
      </c>
      <c r="Z34" s="130" t="str">
        <f>+X34</f>
        <v/>
      </c>
      <c r="AA34" s="129" t="str">
        <f>IFERROR(IF(AB34="","",IF(AB34&lt;=0.2,"Leve",IF(AB34&lt;=0.4,"Menor",IF(AB34&lt;=0.6,"Moderado",IF(AB34&lt;=0.8,"Mayor","Catastrófico"))))),"")</f>
        <v/>
      </c>
      <c r="AB34" s="138" t="str">
        <f>IFERROR(IF(Q34="Impacto",(M34-(+M34*T34)),IF(Q34="Probabilidad",M34,"")),"")</f>
        <v/>
      </c>
      <c r="AC34" s="131"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2"/>
      <c r="AE34" s="133"/>
      <c r="AF34" s="134"/>
      <c r="AG34" s="135"/>
      <c r="AH34" s="135"/>
      <c r="AI34" s="133"/>
      <c r="AJ34" s="134"/>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42.5" hidden="1" customHeight="1" x14ac:dyDescent="0.3">
      <c r="A35" s="214"/>
      <c r="B35" s="217"/>
      <c r="C35" s="217"/>
      <c r="D35" s="217"/>
      <c r="E35" s="220"/>
      <c r="F35" s="217"/>
      <c r="G35" s="223"/>
      <c r="H35" s="226"/>
      <c r="I35" s="208"/>
      <c r="J35" s="229"/>
      <c r="K35" s="208">
        <f t="shared" ref="K35:K39" ca="1" si="31">IF(NOT(ISERROR(MATCH(J35,_xlfn.ANCHORARRAY(E46),0))),I48&amp;"Por favor no seleccionar los criterios de impacto",J35)</f>
        <v>0</v>
      </c>
      <c r="L35" s="226"/>
      <c r="M35" s="208"/>
      <c r="N35" s="211"/>
      <c r="O35" s="139">
        <v>2</v>
      </c>
      <c r="P35" s="124"/>
      <c r="Q35" s="125" t="str">
        <f>IF(OR(R35="Preventivo",R35="Detectivo"),"Probabilidad",IF(R35="Correctivo","Impacto",""))</f>
        <v/>
      </c>
      <c r="R35" s="126"/>
      <c r="S35" s="126"/>
      <c r="T35" s="127" t="str">
        <f t="shared" ref="T35:T39" si="32">IF(AND(R35="Preventivo",S35="Automático"),"50%",IF(AND(R35="Preventivo",S35="Manual"),"40%",IF(AND(R35="Detectivo",S35="Automático"),"40%",IF(AND(R35="Detectivo",S35="Manual"),"30%",IF(AND(R35="Correctivo",S35="Automático"),"35%",IF(AND(R35="Correctivo",S35="Manual"),"25%",""))))))</f>
        <v/>
      </c>
      <c r="U35" s="126"/>
      <c r="V35" s="126"/>
      <c r="W35" s="126"/>
      <c r="X35" s="128" t="str">
        <f>IFERROR(IF(AND(Q34="Probabilidad",Q35="Probabilidad"),(Z34-(+Z34*T35)),IF(Q35="Probabilidad",(I34-(+I34*T35)),IF(Q35="Impacto",Z34,""))),"")</f>
        <v/>
      </c>
      <c r="Y35" s="129" t="str">
        <f t="shared" si="1"/>
        <v/>
      </c>
      <c r="Z35" s="130" t="str">
        <f t="shared" ref="Z35:Z39" si="33">+X35</f>
        <v/>
      </c>
      <c r="AA35" s="129" t="str">
        <f t="shared" si="3"/>
        <v/>
      </c>
      <c r="AB35" s="138" t="str">
        <f>IFERROR(IF(AND(Q34="Impacto",Q35="Impacto"),(AB34-(+AB34*T35)),IF(Q35="Impacto",(M34-(+M34*T35)),IF(Q35="Probabilidad",AB34,""))),"")</f>
        <v/>
      </c>
      <c r="AC35" s="131"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2"/>
      <c r="AE35" s="133"/>
      <c r="AF35" s="134"/>
      <c r="AG35" s="135"/>
      <c r="AH35" s="135"/>
      <c r="AI35" s="133"/>
      <c r="AJ35" s="134"/>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96" hidden="1" customHeight="1" x14ac:dyDescent="0.3">
      <c r="A36" s="214"/>
      <c r="B36" s="217"/>
      <c r="C36" s="217"/>
      <c r="D36" s="217"/>
      <c r="E36" s="220"/>
      <c r="F36" s="217"/>
      <c r="G36" s="223"/>
      <c r="H36" s="226"/>
      <c r="I36" s="208"/>
      <c r="J36" s="229"/>
      <c r="K36" s="208">
        <f t="shared" ca="1" si="31"/>
        <v>0</v>
      </c>
      <c r="L36" s="226"/>
      <c r="M36" s="208"/>
      <c r="N36" s="211"/>
      <c r="O36" s="139">
        <v>3</v>
      </c>
      <c r="P36" s="136"/>
      <c r="Q36" s="125" t="str">
        <f>IF(OR(R36="Preventivo",R36="Detectivo"),"Probabilidad",IF(R36="Correctivo","Impacto",""))</f>
        <v/>
      </c>
      <c r="R36" s="126"/>
      <c r="S36" s="126"/>
      <c r="T36" s="127" t="str">
        <f t="shared" si="32"/>
        <v/>
      </c>
      <c r="U36" s="126"/>
      <c r="V36" s="126"/>
      <c r="W36" s="126"/>
      <c r="X36" s="128" t="str">
        <f>IFERROR(IF(AND(Q35="Probabilidad",Q36="Probabilidad"),(Z35-(+Z35*T36)),IF(AND(Q35="Impacto",Q36="Probabilidad"),(Z34-(+Z34*T36)),IF(Q36="Impacto",Z35,""))),"")</f>
        <v/>
      </c>
      <c r="Y36" s="129" t="str">
        <f t="shared" si="1"/>
        <v/>
      </c>
      <c r="Z36" s="130" t="str">
        <f t="shared" si="33"/>
        <v/>
      </c>
      <c r="AA36" s="129" t="str">
        <f t="shared" si="3"/>
        <v/>
      </c>
      <c r="AB36" s="138" t="str">
        <f>IFERROR(IF(AND(Q35="Impacto",Q36="Impacto"),(AB35-(+AB35*T36)),IF(AND(Q35="Probabilidad",Q36="Impacto"),(AB34-(+AB34*T36)),IF(Q36="Probabilidad",AB35,""))),"")</f>
        <v/>
      </c>
      <c r="AC36" s="131" t="str">
        <f t="shared" si="34"/>
        <v/>
      </c>
      <c r="AD36" s="132"/>
      <c r="AE36" s="133"/>
      <c r="AF36" s="134"/>
      <c r="AG36" s="135"/>
      <c r="AH36" s="135"/>
      <c r="AI36" s="133"/>
      <c r="AJ36" s="134"/>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hidden="1" customHeight="1" x14ac:dyDescent="0.3">
      <c r="A37" s="214"/>
      <c r="B37" s="217"/>
      <c r="C37" s="217"/>
      <c r="D37" s="217"/>
      <c r="E37" s="220"/>
      <c r="F37" s="217"/>
      <c r="G37" s="223"/>
      <c r="H37" s="226"/>
      <c r="I37" s="208"/>
      <c r="J37" s="229"/>
      <c r="K37" s="208">
        <f t="shared" ca="1" si="31"/>
        <v>0</v>
      </c>
      <c r="L37" s="226"/>
      <c r="M37" s="208"/>
      <c r="N37" s="211"/>
      <c r="O37" s="139">
        <v>4</v>
      </c>
      <c r="P37" s="124"/>
      <c r="Q37" s="125" t="str">
        <f t="shared" ref="Q37:Q39" si="35">IF(OR(R37="Preventivo",R37="Detectivo"),"Probabilidad",IF(R37="Correctivo","Impacto",""))</f>
        <v/>
      </c>
      <c r="R37" s="126"/>
      <c r="S37" s="126"/>
      <c r="T37" s="127" t="str">
        <f t="shared" si="32"/>
        <v/>
      </c>
      <c r="U37" s="126"/>
      <c r="V37" s="126"/>
      <c r="W37" s="126"/>
      <c r="X37" s="128" t="str">
        <f t="shared" ref="X37:X39" si="36">IFERROR(IF(AND(Q36="Probabilidad",Q37="Probabilidad"),(Z36-(+Z36*T37)),IF(AND(Q36="Impacto",Q37="Probabilidad"),(Z35-(+Z35*T37)),IF(Q37="Impacto",Z36,""))),"")</f>
        <v/>
      </c>
      <c r="Y37" s="129" t="str">
        <f t="shared" si="1"/>
        <v/>
      </c>
      <c r="Z37" s="130" t="str">
        <f t="shared" si="33"/>
        <v/>
      </c>
      <c r="AA37" s="129" t="str">
        <f t="shared" si="3"/>
        <v/>
      </c>
      <c r="AB37" s="138" t="str">
        <f t="shared" ref="AB37:AB39" si="37">IFERROR(IF(AND(Q36="Impacto",Q37="Impacto"),(AB36-(+AB36*T37)),IF(AND(Q36="Probabilidad",Q37="Impacto"),(AB35-(+AB35*T37)),IF(Q37="Probabilidad",AB36,""))),"")</f>
        <v/>
      </c>
      <c r="AC37" s="131"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hidden="1" customHeight="1" x14ac:dyDescent="0.3">
      <c r="A38" s="214"/>
      <c r="B38" s="217"/>
      <c r="C38" s="217"/>
      <c r="D38" s="217"/>
      <c r="E38" s="220"/>
      <c r="F38" s="217"/>
      <c r="G38" s="223"/>
      <c r="H38" s="226"/>
      <c r="I38" s="208"/>
      <c r="J38" s="229"/>
      <c r="K38" s="208">
        <f t="shared" ca="1" si="31"/>
        <v>0</v>
      </c>
      <c r="L38" s="226"/>
      <c r="M38" s="208"/>
      <c r="N38" s="211"/>
      <c r="O38" s="139">
        <v>5</v>
      </c>
      <c r="P38" s="124"/>
      <c r="Q38" s="125" t="str">
        <f t="shared" si="35"/>
        <v/>
      </c>
      <c r="R38" s="126"/>
      <c r="S38" s="126"/>
      <c r="T38" s="127" t="str">
        <f t="shared" si="32"/>
        <v/>
      </c>
      <c r="U38" s="126"/>
      <c r="V38" s="126"/>
      <c r="W38" s="126"/>
      <c r="X38" s="128" t="str">
        <f t="shared" si="36"/>
        <v/>
      </c>
      <c r="Y38" s="129" t="str">
        <f t="shared" si="1"/>
        <v/>
      </c>
      <c r="Z38" s="130" t="str">
        <f t="shared" si="33"/>
        <v/>
      </c>
      <c r="AA38" s="129" t="str">
        <f t="shared" si="3"/>
        <v/>
      </c>
      <c r="AB38" s="138" t="str">
        <f t="shared" si="37"/>
        <v/>
      </c>
      <c r="AC38" s="131"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2"/>
      <c r="AE38" s="133"/>
      <c r="AF38" s="134"/>
      <c r="AG38" s="135"/>
      <c r="AH38" s="135"/>
      <c r="AI38" s="133"/>
      <c r="AJ38" s="134"/>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hidden="1" customHeight="1" x14ac:dyDescent="0.3">
      <c r="A39" s="215"/>
      <c r="B39" s="218"/>
      <c r="C39" s="218"/>
      <c r="D39" s="218"/>
      <c r="E39" s="221"/>
      <c r="F39" s="218"/>
      <c r="G39" s="224"/>
      <c r="H39" s="227"/>
      <c r="I39" s="209"/>
      <c r="J39" s="230"/>
      <c r="K39" s="209">
        <f t="shared" ca="1" si="31"/>
        <v>0</v>
      </c>
      <c r="L39" s="227"/>
      <c r="M39" s="209"/>
      <c r="N39" s="212"/>
      <c r="O39" s="139">
        <v>6</v>
      </c>
      <c r="P39" s="124"/>
      <c r="Q39" s="125" t="str">
        <f t="shared" si="35"/>
        <v/>
      </c>
      <c r="R39" s="126"/>
      <c r="S39" s="126"/>
      <c r="T39" s="127" t="str">
        <f t="shared" si="32"/>
        <v/>
      </c>
      <c r="U39" s="126"/>
      <c r="V39" s="126"/>
      <c r="W39" s="126"/>
      <c r="X39" s="128" t="str">
        <f t="shared" si="36"/>
        <v/>
      </c>
      <c r="Y39" s="129" t="str">
        <f t="shared" si="1"/>
        <v/>
      </c>
      <c r="Z39" s="130" t="str">
        <f t="shared" si="33"/>
        <v/>
      </c>
      <c r="AA39" s="129" t="str">
        <f t="shared" si="3"/>
        <v/>
      </c>
      <c r="AB39" s="138" t="str">
        <f t="shared" si="37"/>
        <v/>
      </c>
      <c r="AC39" s="131" t="str">
        <f t="shared" si="38"/>
        <v/>
      </c>
      <c r="AD39" s="132"/>
      <c r="AE39" s="133"/>
      <c r="AF39" s="134"/>
      <c r="AG39" s="135"/>
      <c r="AH39" s="135"/>
      <c r="AI39" s="133"/>
      <c r="AJ39" s="134"/>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hidden="1" customHeight="1" x14ac:dyDescent="0.3">
      <c r="A40" s="213">
        <v>6</v>
      </c>
      <c r="B40" s="216"/>
      <c r="C40" s="216"/>
      <c r="D40" s="216"/>
      <c r="E40" s="219"/>
      <c r="F40" s="216"/>
      <c r="G40" s="222"/>
      <c r="H40" s="225" t="str">
        <f>IF(G40&lt;=0,"",IF(G40&lt;=2,"Muy Baja",IF(G40&lt;=24,"Baja",IF(G40&lt;=500,"Media",IF(G40&lt;=5000,"Alta","Muy Alta")))))</f>
        <v/>
      </c>
      <c r="I40" s="207" t="str">
        <f>IF(H40="","",IF(H40="Muy Baja",0.2,IF(H40="Baja",0.4,IF(H40="Media",0.6,IF(H40="Alta",0.8,IF(H40="Muy Alta",1,))))))</f>
        <v/>
      </c>
      <c r="J40" s="228"/>
      <c r="K40" s="207">
        <f ca="1">IF(NOT(ISERROR(MATCH(J40,'Tabla Impacto'!$B$221:$B$223,0))),'Tabla Impacto'!$F$223&amp;"Por favor no seleccionar los criterios de impacto(Afectación Económica o presupuestal y Pérdida Reputacional)",J40)</f>
        <v>0</v>
      </c>
      <c r="L40" s="225" t="str">
        <f ca="1">IF(OR(K40='Tabla Impacto'!$C$11,K40='Tabla Impacto'!$D$11),"Leve",IF(OR(K40='Tabla Impacto'!$C$12,K40='Tabla Impacto'!$D$12),"Menor",IF(OR(K40='Tabla Impacto'!$C$13,K40='Tabla Impacto'!$D$13),"Moderado",IF(OR(K40='Tabla Impacto'!$C$14,K40='Tabla Impacto'!$D$14),"Mayor",IF(OR(K40='Tabla Impacto'!$C$15,K40='Tabla Impacto'!$D$15),"Catastrófico","")))))</f>
        <v/>
      </c>
      <c r="M40" s="207" t="str">
        <f ca="1">IF(L40="","",IF(L40="Leve",0.2,IF(L40="Menor",0.4,IF(L40="Moderado",0.6,IF(L40="Mayor",0.8,IF(L40="Catastrófico",1,))))))</f>
        <v/>
      </c>
      <c r="N40" s="210"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39">
        <v>1</v>
      </c>
      <c r="P40" s="124"/>
      <c r="Q40" s="125" t="str">
        <f>IF(OR(R40="Preventivo",R40="Detectivo"),"Probabilidad",IF(R40="Correctivo","Impacto",""))</f>
        <v/>
      </c>
      <c r="R40" s="126"/>
      <c r="S40" s="126"/>
      <c r="T40" s="127" t="str">
        <f>IF(AND(R40="Preventivo",S40="Automático"),"50%",IF(AND(R40="Preventivo",S40="Manual"),"40%",IF(AND(R40="Detectivo",S40="Automático"),"40%",IF(AND(R40="Detectivo",S40="Manual"),"30%",IF(AND(R40="Correctivo",S40="Automático"),"35%",IF(AND(R40="Correctivo",S40="Manual"),"25%",""))))))</f>
        <v/>
      </c>
      <c r="U40" s="126"/>
      <c r="V40" s="126"/>
      <c r="W40" s="126"/>
      <c r="X40" s="128" t="str">
        <f>IFERROR(IF(Q40="Probabilidad",(I40-(+I40*T40)),IF(Q40="Impacto",I40,"")),"")</f>
        <v/>
      </c>
      <c r="Y40" s="129" t="str">
        <f>IFERROR(IF(X40="","",IF(X40&lt;=0.2,"Muy Baja",IF(X40&lt;=0.4,"Baja",IF(X40&lt;=0.6,"Media",IF(X40&lt;=0.8,"Alta","Muy Alta"))))),"")</f>
        <v/>
      </c>
      <c r="Z40" s="130" t="str">
        <f>+X40</f>
        <v/>
      </c>
      <c r="AA40" s="129" t="str">
        <f>IFERROR(IF(AB40="","",IF(AB40&lt;=0.2,"Leve",IF(AB40&lt;=0.4,"Menor",IF(AB40&lt;=0.6,"Moderado",IF(AB40&lt;=0.8,"Mayor","Catastrófico"))))),"")</f>
        <v/>
      </c>
      <c r="AB40" s="138" t="str">
        <f>IFERROR(IF(Q40="Impacto",(M40-(+M40*T40)),IF(Q40="Probabilidad",M40,"")),"")</f>
        <v/>
      </c>
      <c r="AC40" s="131"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2"/>
      <c r="AE40" s="133"/>
      <c r="AF40" s="134"/>
      <c r="AG40" s="135"/>
      <c r="AH40" s="135"/>
      <c r="AI40" s="133"/>
      <c r="AJ40" s="134"/>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20" hidden="1" customHeight="1" x14ac:dyDescent="0.3">
      <c r="A41" s="214"/>
      <c r="B41" s="217"/>
      <c r="C41" s="217"/>
      <c r="D41" s="217"/>
      <c r="E41" s="220"/>
      <c r="F41" s="217"/>
      <c r="G41" s="223"/>
      <c r="H41" s="226"/>
      <c r="I41" s="208"/>
      <c r="J41" s="229"/>
      <c r="K41" s="208">
        <f t="shared" ref="K41:K45" ca="1" si="39">IF(NOT(ISERROR(MATCH(J41,_xlfn.ANCHORARRAY(E52),0))),I54&amp;"Por favor no seleccionar los criterios de impacto",J41)</f>
        <v>0</v>
      </c>
      <c r="L41" s="226"/>
      <c r="M41" s="208"/>
      <c r="N41" s="211"/>
      <c r="O41" s="139">
        <v>2</v>
      </c>
      <c r="P41" s="124"/>
      <c r="Q41" s="125" t="str">
        <f>IF(OR(R41="Preventivo",R41="Detectivo"),"Probabilidad",IF(R41="Correctivo","Impacto",""))</f>
        <v/>
      </c>
      <c r="R41" s="126"/>
      <c r="S41" s="126"/>
      <c r="T41" s="127" t="str">
        <f t="shared" ref="T41:T45" si="40">IF(AND(R41="Preventivo",S41="Automático"),"50%",IF(AND(R41="Preventivo",S41="Manual"),"40%",IF(AND(R41="Detectivo",S41="Automático"),"40%",IF(AND(R41="Detectivo",S41="Manual"),"30%",IF(AND(R41="Correctivo",S41="Automático"),"35%",IF(AND(R41="Correctivo",S41="Manual"),"25%",""))))))</f>
        <v/>
      </c>
      <c r="U41" s="126"/>
      <c r="V41" s="126"/>
      <c r="W41" s="126"/>
      <c r="X41" s="128" t="str">
        <f>IFERROR(IF(AND(Q40="Probabilidad",Q41="Probabilidad"),(Z40-(+Z40*T41)),IF(Q41="Probabilidad",(I40-(+I40*T41)),IF(Q41="Impacto",Z40,""))),"")</f>
        <v/>
      </c>
      <c r="Y41" s="129" t="str">
        <f t="shared" si="1"/>
        <v/>
      </c>
      <c r="Z41" s="130" t="str">
        <f t="shared" ref="Z41:Z45" si="41">+X41</f>
        <v/>
      </c>
      <c r="AA41" s="129" t="str">
        <f t="shared" si="3"/>
        <v/>
      </c>
      <c r="AB41" s="138" t="str">
        <f>IFERROR(IF(AND(Q40="Impacto",Q41="Impacto"),(AB40-(+AB40*T41)),IF(Q41="Impacto",(M40-(+M40*T41)),IF(Q41="Probabilidad",AB40,""))),"")</f>
        <v/>
      </c>
      <c r="AC41" s="131"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2"/>
      <c r="AE41" s="133"/>
      <c r="AF41" s="134"/>
      <c r="AG41" s="135"/>
      <c r="AH41" s="135"/>
      <c r="AI41" s="133"/>
      <c r="AJ41" s="134"/>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03.5" hidden="1" customHeight="1" x14ac:dyDescent="0.3">
      <c r="A42" s="214"/>
      <c r="B42" s="217"/>
      <c r="C42" s="217"/>
      <c r="D42" s="217"/>
      <c r="E42" s="220"/>
      <c r="F42" s="217"/>
      <c r="G42" s="223"/>
      <c r="H42" s="226"/>
      <c r="I42" s="208"/>
      <c r="J42" s="229"/>
      <c r="K42" s="208">
        <f t="shared" ca="1" si="39"/>
        <v>0</v>
      </c>
      <c r="L42" s="226"/>
      <c r="M42" s="208"/>
      <c r="N42" s="211"/>
      <c r="O42" s="139">
        <v>3</v>
      </c>
      <c r="P42" s="136"/>
      <c r="Q42" s="125" t="str">
        <f>IF(OR(R42="Preventivo",R42="Detectivo"),"Probabilidad",IF(R42="Correctivo","Impacto",""))</f>
        <v/>
      </c>
      <c r="R42" s="126"/>
      <c r="S42" s="126"/>
      <c r="T42" s="127" t="str">
        <f t="shared" si="40"/>
        <v/>
      </c>
      <c r="U42" s="126"/>
      <c r="V42" s="126"/>
      <c r="W42" s="126"/>
      <c r="X42" s="128" t="str">
        <f>IFERROR(IF(AND(Q41="Probabilidad",Q42="Probabilidad"),(Z41-(+Z41*T42)),IF(AND(Q41="Impacto",Q42="Probabilidad"),(Z40-(+Z40*T42)),IF(Q42="Impacto",Z41,""))),"")</f>
        <v/>
      </c>
      <c r="Y42" s="129" t="str">
        <f t="shared" si="1"/>
        <v/>
      </c>
      <c r="Z42" s="130" t="str">
        <f t="shared" si="41"/>
        <v/>
      </c>
      <c r="AA42" s="129" t="str">
        <f t="shared" si="3"/>
        <v/>
      </c>
      <c r="AB42" s="138" t="str">
        <f>IFERROR(IF(AND(Q41="Impacto",Q42="Impacto"),(AB41-(+AB41*T42)),IF(AND(Q41="Probabilidad",Q42="Impacto"),(AB40-(+AB40*T42)),IF(Q42="Probabilidad",AB41,""))),"")</f>
        <v/>
      </c>
      <c r="AC42" s="131" t="str">
        <f t="shared" si="42"/>
        <v/>
      </c>
      <c r="AD42" s="132"/>
      <c r="AE42" s="133"/>
      <c r="AF42" s="134"/>
      <c r="AG42" s="135"/>
      <c r="AH42" s="135"/>
      <c r="AI42" s="133"/>
      <c r="AJ42" s="134"/>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hidden="1" customHeight="1" x14ac:dyDescent="0.3">
      <c r="A43" s="214"/>
      <c r="B43" s="217"/>
      <c r="C43" s="217"/>
      <c r="D43" s="217"/>
      <c r="E43" s="220"/>
      <c r="F43" s="217"/>
      <c r="G43" s="223"/>
      <c r="H43" s="226"/>
      <c r="I43" s="208"/>
      <c r="J43" s="229"/>
      <c r="K43" s="208">
        <f t="shared" ca="1" si="39"/>
        <v>0</v>
      </c>
      <c r="L43" s="226"/>
      <c r="M43" s="208"/>
      <c r="N43" s="211"/>
      <c r="O43" s="139">
        <v>4</v>
      </c>
      <c r="P43" s="124"/>
      <c r="Q43" s="125" t="str">
        <f t="shared" ref="Q43:Q45" si="43">IF(OR(R43="Preventivo",R43="Detectivo"),"Probabilidad",IF(R43="Correctivo","Impacto",""))</f>
        <v/>
      </c>
      <c r="R43" s="126"/>
      <c r="S43" s="126"/>
      <c r="T43" s="127" t="str">
        <f t="shared" si="40"/>
        <v/>
      </c>
      <c r="U43" s="126"/>
      <c r="V43" s="126"/>
      <c r="W43" s="126"/>
      <c r="X43" s="128" t="str">
        <f t="shared" ref="X43:X45" si="44">IFERROR(IF(AND(Q42="Probabilidad",Q43="Probabilidad"),(Z42-(+Z42*T43)),IF(AND(Q42="Impacto",Q43="Probabilidad"),(Z41-(+Z41*T43)),IF(Q43="Impacto",Z42,""))),"")</f>
        <v/>
      </c>
      <c r="Y43" s="129" t="str">
        <f t="shared" si="1"/>
        <v/>
      </c>
      <c r="Z43" s="130" t="str">
        <f t="shared" si="41"/>
        <v/>
      </c>
      <c r="AA43" s="129" t="str">
        <f t="shared" si="3"/>
        <v/>
      </c>
      <c r="AB43" s="138" t="str">
        <f t="shared" ref="AB43:AB45" si="45">IFERROR(IF(AND(Q42="Impacto",Q43="Impacto"),(AB42-(+AB42*T43)),IF(AND(Q42="Probabilidad",Q43="Impacto"),(AB41-(+AB41*T43)),IF(Q43="Probabilidad",AB42,""))),"")</f>
        <v/>
      </c>
      <c r="AC43" s="131"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2"/>
      <c r="AE43" s="133"/>
      <c r="AF43" s="134"/>
      <c r="AG43" s="135"/>
      <c r="AH43" s="135"/>
      <c r="AI43" s="133"/>
      <c r="AJ43" s="134"/>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hidden="1" customHeight="1" x14ac:dyDescent="0.3">
      <c r="A44" s="214"/>
      <c r="B44" s="217"/>
      <c r="C44" s="217"/>
      <c r="D44" s="217"/>
      <c r="E44" s="220"/>
      <c r="F44" s="217"/>
      <c r="G44" s="223"/>
      <c r="H44" s="226"/>
      <c r="I44" s="208"/>
      <c r="J44" s="229"/>
      <c r="K44" s="208">
        <f t="shared" ca="1" si="39"/>
        <v>0</v>
      </c>
      <c r="L44" s="226"/>
      <c r="M44" s="208"/>
      <c r="N44" s="211"/>
      <c r="O44" s="139">
        <v>5</v>
      </c>
      <c r="P44" s="124"/>
      <c r="Q44" s="125" t="str">
        <f t="shared" si="43"/>
        <v/>
      </c>
      <c r="R44" s="126"/>
      <c r="S44" s="126"/>
      <c r="T44" s="127" t="str">
        <f t="shared" si="40"/>
        <v/>
      </c>
      <c r="U44" s="126"/>
      <c r="V44" s="126"/>
      <c r="W44" s="126"/>
      <c r="X44" s="128" t="str">
        <f t="shared" si="44"/>
        <v/>
      </c>
      <c r="Y44" s="129" t="str">
        <f t="shared" si="1"/>
        <v/>
      </c>
      <c r="Z44" s="130" t="str">
        <f t="shared" si="41"/>
        <v/>
      </c>
      <c r="AA44" s="129" t="str">
        <f t="shared" si="3"/>
        <v/>
      </c>
      <c r="AB44" s="138" t="str">
        <f t="shared" si="45"/>
        <v/>
      </c>
      <c r="AC44" s="131"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2"/>
      <c r="AE44" s="133"/>
      <c r="AF44" s="134"/>
      <c r="AG44" s="135"/>
      <c r="AH44" s="135"/>
      <c r="AI44" s="133"/>
      <c r="AJ44" s="134"/>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hidden="1" customHeight="1" x14ac:dyDescent="0.3">
      <c r="A45" s="215"/>
      <c r="B45" s="218"/>
      <c r="C45" s="218"/>
      <c r="D45" s="218"/>
      <c r="E45" s="221"/>
      <c r="F45" s="218"/>
      <c r="G45" s="224"/>
      <c r="H45" s="227"/>
      <c r="I45" s="209"/>
      <c r="J45" s="230"/>
      <c r="K45" s="209">
        <f t="shared" ca="1" si="39"/>
        <v>0</v>
      </c>
      <c r="L45" s="227"/>
      <c r="M45" s="209"/>
      <c r="N45" s="212"/>
      <c r="O45" s="139">
        <v>6</v>
      </c>
      <c r="P45" s="124"/>
      <c r="Q45" s="125" t="str">
        <f t="shared" si="43"/>
        <v/>
      </c>
      <c r="R45" s="126"/>
      <c r="S45" s="126"/>
      <c r="T45" s="127" t="str">
        <f t="shared" si="40"/>
        <v/>
      </c>
      <c r="U45" s="126"/>
      <c r="V45" s="126"/>
      <c r="W45" s="126"/>
      <c r="X45" s="128" t="str">
        <f t="shared" si="44"/>
        <v/>
      </c>
      <c r="Y45" s="129" t="str">
        <f t="shared" si="1"/>
        <v/>
      </c>
      <c r="Z45" s="130" t="str">
        <f t="shared" si="41"/>
        <v/>
      </c>
      <c r="AA45" s="129" t="str">
        <f>IFERROR(IF(AB45="","",IF(AB45&lt;=0.2,"Leve",IF(AB45&lt;=0.4,"Menor",IF(AB45&lt;=0.6,"Moderado",IF(AB45&lt;=0.8,"Mayor","Catastrófico"))))),"")</f>
        <v/>
      </c>
      <c r="AB45" s="138" t="str">
        <f t="shared" si="45"/>
        <v/>
      </c>
      <c r="AC45" s="13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2"/>
      <c r="AE45" s="133"/>
      <c r="AF45" s="134"/>
      <c r="AG45" s="135"/>
      <c r="AH45" s="135"/>
      <c r="AI45" s="133"/>
      <c r="AJ45" s="134"/>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hidden="1" customHeight="1" x14ac:dyDescent="0.3">
      <c r="A46" s="213">
        <v>7</v>
      </c>
      <c r="B46" s="216"/>
      <c r="C46" s="216"/>
      <c r="D46" s="216"/>
      <c r="E46" s="219"/>
      <c r="F46" s="216"/>
      <c r="G46" s="222"/>
      <c r="H46" s="225" t="str">
        <f>IF(G46&lt;=0,"",IF(G46&lt;=2,"Muy Baja",IF(G46&lt;=24,"Baja",IF(G46&lt;=500,"Media",IF(G46&lt;=5000,"Alta","Muy Alta")))))</f>
        <v/>
      </c>
      <c r="I46" s="207" t="str">
        <f>IF(H46="","",IF(H46="Muy Baja",0.2,IF(H46="Baja",0.4,IF(H46="Media",0.6,IF(H46="Alta",0.8,IF(H46="Muy Alta",1,))))))</f>
        <v/>
      </c>
      <c r="J46" s="228"/>
      <c r="K46" s="207">
        <f ca="1">IF(NOT(ISERROR(MATCH(J46,'Tabla Impacto'!$B$221:$B$223,0))),'Tabla Impacto'!$F$223&amp;"Por favor no seleccionar los criterios de impacto(Afectación Económica o presupuestal y Pérdida Reputacional)",J46)</f>
        <v>0</v>
      </c>
      <c r="L46" s="225" t="str">
        <f ca="1">IF(OR(K46='Tabla Impacto'!$C$11,K46='Tabla Impacto'!$D$11),"Leve",IF(OR(K46='Tabla Impacto'!$C$12,K46='Tabla Impacto'!$D$12),"Menor",IF(OR(K46='Tabla Impacto'!$C$13,K46='Tabla Impacto'!$D$13),"Moderado",IF(OR(K46='Tabla Impacto'!$C$14,K46='Tabla Impacto'!$D$14),"Mayor",IF(OR(K46='Tabla Impacto'!$C$15,K46='Tabla Impacto'!$D$15),"Catastrófico","")))))</f>
        <v/>
      </c>
      <c r="M46" s="207" t="str">
        <f ca="1">IF(L46="","",IF(L46="Leve",0.2,IF(L46="Menor",0.4,IF(L46="Moderado",0.6,IF(L46="Mayor",0.8,IF(L46="Catastrófico",1,))))))</f>
        <v/>
      </c>
      <c r="N46" s="210"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39">
        <v>1</v>
      </c>
      <c r="P46" s="124"/>
      <c r="Q46" s="125" t="str">
        <f>IF(OR(R46="Preventivo",R46="Detectivo"),"Probabilidad",IF(R46="Correctivo","Impacto",""))</f>
        <v/>
      </c>
      <c r="R46" s="126"/>
      <c r="S46" s="126"/>
      <c r="T46" s="127" t="str">
        <f>IF(AND(R46="Preventivo",S46="Automático"),"50%",IF(AND(R46="Preventivo",S46="Manual"),"40%",IF(AND(R46="Detectivo",S46="Automático"),"40%",IF(AND(R46="Detectivo",S46="Manual"),"30%",IF(AND(R46="Correctivo",S46="Automático"),"35%",IF(AND(R46="Correctivo",S46="Manual"),"25%",""))))))</f>
        <v/>
      </c>
      <c r="U46" s="126"/>
      <c r="V46" s="126"/>
      <c r="W46" s="126"/>
      <c r="X46" s="128" t="str">
        <f>IFERROR(IF(Q46="Probabilidad",(I46-(+I46*T46)),IF(Q46="Impacto",I46,"")),"")</f>
        <v/>
      </c>
      <c r="Y46" s="129" t="str">
        <f>IFERROR(IF(X46="","",IF(X46&lt;=0.2,"Muy Baja",IF(X46&lt;=0.4,"Baja",IF(X46&lt;=0.6,"Media",IF(X46&lt;=0.8,"Alta","Muy Alta"))))),"")</f>
        <v/>
      </c>
      <c r="Z46" s="130" t="str">
        <f>+X46</f>
        <v/>
      </c>
      <c r="AA46" s="129" t="str">
        <f>IFERROR(IF(AB46="","",IF(AB46&lt;=0.2,"Leve",IF(AB46&lt;=0.4,"Menor",IF(AB46&lt;=0.6,"Moderado",IF(AB46&lt;=0.8,"Mayor","Catastrófico"))))),"")</f>
        <v/>
      </c>
      <c r="AB46" s="138" t="str">
        <f>IFERROR(IF(Q46="Impacto",(M46-(+M46*T46)),IF(Q46="Probabilidad",M46,"")),"")</f>
        <v/>
      </c>
      <c r="AC46" s="13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2"/>
      <c r="AE46" s="133"/>
      <c r="AF46" s="134"/>
      <c r="AG46" s="135"/>
      <c r="AH46" s="135"/>
      <c r="AI46" s="133"/>
      <c r="AJ46" s="134"/>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35" hidden="1" customHeight="1" x14ac:dyDescent="0.3">
      <c r="A47" s="214"/>
      <c r="B47" s="217"/>
      <c r="C47" s="217"/>
      <c r="D47" s="217"/>
      <c r="E47" s="220"/>
      <c r="F47" s="217"/>
      <c r="G47" s="223"/>
      <c r="H47" s="226"/>
      <c r="I47" s="208"/>
      <c r="J47" s="229"/>
      <c r="K47" s="208">
        <f t="shared" ref="K47:K51" ca="1" si="47">IF(NOT(ISERROR(MATCH(J47,_xlfn.ANCHORARRAY(E58),0))),I60&amp;"Por favor no seleccionar los criterios de impacto",J47)</f>
        <v>0</v>
      </c>
      <c r="L47" s="226"/>
      <c r="M47" s="208"/>
      <c r="N47" s="211"/>
      <c r="O47" s="139">
        <v>2</v>
      </c>
      <c r="P47" s="124"/>
      <c r="Q47" s="125" t="str">
        <f>IF(OR(R47="Preventivo",R47="Detectivo"),"Probabilidad",IF(R47="Correctivo","Impacto",""))</f>
        <v/>
      </c>
      <c r="R47" s="126"/>
      <c r="S47" s="126"/>
      <c r="T47" s="127" t="str">
        <f t="shared" ref="T47:T51" si="48">IF(AND(R47="Preventivo",S47="Automático"),"50%",IF(AND(R47="Preventivo",S47="Manual"),"40%",IF(AND(R47="Detectivo",S47="Automático"),"40%",IF(AND(R47="Detectivo",S47="Manual"),"30%",IF(AND(R47="Correctivo",S47="Automático"),"35%",IF(AND(R47="Correctivo",S47="Manual"),"25%",""))))))</f>
        <v/>
      </c>
      <c r="U47" s="126"/>
      <c r="V47" s="126"/>
      <c r="W47" s="126"/>
      <c r="X47" s="128" t="str">
        <f>IFERROR(IF(AND(Q46="Probabilidad",Q47="Probabilidad"),(Z46-(+Z46*T47)),IF(Q47="Probabilidad",(I46-(+I46*T47)),IF(Q47="Impacto",Z46,""))),"")</f>
        <v/>
      </c>
      <c r="Y47" s="129" t="str">
        <f t="shared" si="1"/>
        <v/>
      </c>
      <c r="Z47" s="130" t="str">
        <f t="shared" ref="Z47:Z51" si="49">+X47</f>
        <v/>
      </c>
      <c r="AA47" s="129" t="str">
        <f t="shared" si="3"/>
        <v/>
      </c>
      <c r="AB47" s="138" t="str">
        <f>IFERROR(IF(AND(Q46="Impacto",Q47="Impacto"),(AB46-(+AB46*T47)),IF(Q47="Impacto",(M46-(+M46*T47)),IF(Q47="Probabilidad",AB46,""))),"")</f>
        <v/>
      </c>
      <c r="AC47" s="131"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2"/>
      <c r="AE47" s="133"/>
      <c r="AF47" s="134"/>
      <c r="AG47" s="135"/>
      <c r="AH47" s="135"/>
      <c r="AI47" s="133"/>
      <c r="AJ47" s="134"/>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hidden="1" customHeight="1" x14ac:dyDescent="0.3">
      <c r="A48" s="214"/>
      <c r="B48" s="217"/>
      <c r="C48" s="217"/>
      <c r="D48" s="217"/>
      <c r="E48" s="220"/>
      <c r="F48" s="217"/>
      <c r="G48" s="223"/>
      <c r="H48" s="226"/>
      <c r="I48" s="208"/>
      <c r="J48" s="229"/>
      <c r="K48" s="208">
        <f t="shared" ca="1" si="47"/>
        <v>0</v>
      </c>
      <c r="L48" s="226"/>
      <c r="M48" s="208"/>
      <c r="N48" s="211"/>
      <c r="O48" s="139">
        <v>3</v>
      </c>
      <c r="P48" s="136"/>
      <c r="Q48" s="125" t="str">
        <f>IF(OR(R48="Preventivo",R48="Detectivo"),"Probabilidad",IF(R48="Correctivo","Impacto",""))</f>
        <v/>
      </c>
      <c r="R48" s="126"/>
      <c r="S48" s="126"/>
      <c r="T48" s="127" t="str">
        <f t="shared" si="48"/>
        <v/>
      </c>
      <c r="U48" s="126"/>
      <c r="V48" s="126"/>
      <c r="W48" s="126"/>
      <c r="X48" s="128" t="str">
        <f>IFERROR(IF(AND(Q47="Probabilidad",Q48="Probabilidad"),(Z47-(+Z47*T48)),IF(AND(Q47="Impacto",Q48="Probabilidad"),(Z46-(+Z46*T48)),IF(Q48="Impacto",Z47,""))),"")</f>
        <v/>
      </c>
      <c r="Y48" s="129" t="str">
        <f t="shared" si="1"/>
        <v/>
      </c>
      <c r="Z48" s="130" t="str">
        <f t="shared" si="49"/>
        <v/>
      </c>
      <c r="AA48" s="129" t="str">
        <f t="shared" si="3"/>
        <v/>
      </c>
      <c r="AB48" s="138" t="str">
        <f>IFERROR(IF(AND(Q47="Impacto",Q48="Impacto"),(AB47-(+AB47*T48)),IF(AND(Q47="Probabilidad",Q48="Impacto"),(AB46-(+AB46*T48)),IF(Q48="Probabilidad",AB47,""))),"")</f>
        <v/>
      </c>
      <c r="AC48" s="131" t="str">
        <f t="shared" si="50"/>
        <v/>
      </c>
      <c r="AD48" s="132"/>
      <c r="AE48" s="133"/>
      <c r="AF48" s="134"/>
      <c r="AG48" s="135"/>
      <c r="AH48" s="135"/>
      <c r="AI48" s="133"/>
      <c r="AJ48" s="134"/>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hidden="1" customHeight="1" x14ac:dyDescent="0.3">
      <c r="A49" s="214"/>
      <c r="B49" s="217"/>
      <c r="C49" s="217"/>
      <c r="D49" s="217"/>
      <c r="E49" s="220"/>
      <c r="F49" s="217"/>
      <c r="G49" s="223"/>
      <c r="H49" s="226"/>
      <c r="I49" s="208"/>
      <c r="J49" s="229"/>
      <c r="K49" s="208">
        <f t="shared" ca="1" si="47"/>
        <v>0</v>
      </c>
      <c r="L49" s="226"/>
      <c r="M49" s="208"/>
      <c r="N49" s="211"/>
      <c r="O49" s="139">
        <v>4</v>
      </c>
      <c r="P49" s="124"/>
      <c r="Q49" s="125" t="str">
        <f t="shared" ref="Q49:Q51" si="51">IF(OR(R49="Preventivo",R49="Detectivo"),"Probabilidad",IF(R49="Correctivo","Impacto",""))</f>
        <v/>
      </c>
      <c r="R49" s="126"/>
      <c r="S49" s="126"/>
      <c r="T49" s="127" t="str">
        <f t="shared" si="48"/>
        <v/>
      </c>
      <c r="U49" s="126"/>
      <c r="V49" s="126"/>
      <c r="W49" s="126"/>
      <c r="X49" s="128" t="str">
        <f t="shared" ref="X49:X51" si="52">IFERROR(IF(AND(Q48="Probabilidad",Q49="Probabilidad"),(Z48-(+Z48*T49)),IF(AND(Q48="Impacto",Q49="Probabilidad"),(Z47-(+Z47*T49)),IF(Q49="Impacto",Z48,""))),"")</f>
        <v/>
      </c>
      <c r="Y49" s="129" t="str">
        <f t="shared" si="1"/>
        <v/>
      </c>
      <c r="Z49" s="130" t="str">
        <f t="shared" si="49"/>
        <v/>
      </c>
      <c r="AA49" s="129" t="str">
        <f t="shared" si="3"/>
        <v/>
      </c>
      <c r="AB49" s="138" t="str">
        <f t="shared" ref="AB49:AB51" si="53">IFERROR(IF(AND(Q48="Impacto",Q49="Impacto"),(AB48-(+AB48*T49)),IF(AND(Q48="Probabilidad",Q49="Impacto"),(AB47-(+AB47*T49)),IF(Q49="Probabilidad",AB48,""))),"")</f>
        <v/>
      </c>
      <c r="AC49" s="131"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2"/>
      <c r="AE49" s="133"/>
      <c r="AF49" s="134"/>
      <c r="AG49" s="135"/>
      <c r="AH49" s="135"/>
      <c r="AI49" s="133"/>
      <c r="AJ49" s="134"/>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hidden="1" customHeight="1" x14ac:dyDescent="0.3">
      <c r="A50" s="214"/>
      <c r="B50" s="217"/>
      <c r="C50" s="217"/>
      <c r="D50" s="217"/>
      <c r="E50" s="220"/>
      <c r="F50" s="217"/>
      <c r="G50" s="223"/>
      <c r="H50" s="226"/>
      <c r="I50" s="208"/>
      <c r="J50" s="229"/>
      <c r="K50" s="208">
        <f t="shared" ca="1" si="47"/>
        <v>0</v>
      </c>
      <c r="L50" s="226"/>
      <c r="M50" s="208"/>
      <c r="N50" s="211"/>
      <c r="O50" s="139">
        <v>5</v>
      </c>
      <c r="P50" s="124"/>
      <c r="Q50" s="125" t="str">
        <f t="shared" si="51"/>
        <v/>
      </c>
      <c r="R50" s="126"/>
      <c r="S50" s="126"/>
      <c r="T50" s="127" t="str">
        <f t="shared" si="48"/>
        <v/>
      </c>
      <c r="U50" s="126"/>
      <c r="V50" s="126"/>
      <c r="W50" s="126"/>
      <c r="X50" s="128" t="str">
        <f t="shared" si="52"/>
        <v/>
      </c>
      <c r="Y50" s="129" t="str">
        <f t="shared" si="1"/>
        <v/>
      </c>
      <c r="Z50" s="130" t="str">
        <f t="shared" si="49"/>
        <v/>
      </c>
      <c r="AA50" s="129" t="str">
        <f t="shared" si="3"/>
        <v/>
      </c>
      <c r="AB50" s="138" t="str">
        <f t="shared" si="53"/>
        <v/>
      </c>
      <c r="AC50" s="131"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2"/>
      <c r="AE50" s="133"/>
      <c r="AF50" s="134"/>
      <c r="AG50" s="135"/>
      <c r="AH50" s="135"/>
      <c r="AI50" s="133"/>
      <c r="AJ50" s="134"/>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hidden="1" customHeight="1" x14ac:dyDescent="0.3">
      <c r="A51" s="215"/>
      <c r="B51" s="218"/>
      <c r="C51" s="218"/>
      <c r="D51" s="218"/>
      <c r="E51" s="221"/>
      <c r="F51" s="218"/>
      <c r="G51" s="224"/>
      <c r="H51" s="227"/>
      <c r="I51" s="209"/>
      <c r="J51" s="230"/>
      <c r="K51" s="209">
        <f t="shared" ca="1" si="47"/>
        <v>0</v>
      </c>
      <c r="L51" s="227"/>
      <c r="M51" s="209"/>
      <c r="N51" s="212"/>
      <c r="O51" s="139">
        <v>6</v>
      </c>
      <c r="P51" s="124"/>
      <c r="Q51" s="125" t="str">
        <f t="shared" si="51"/>
        <v/>
      </c>
      <c r="R51" s="126"/>
      <c r="S51" s="126"/>
      <c r="T51" s="127" t="str">
        <f t="shared" si="48"/>
        <v/>
      </c>
      <c r="U51" s="126"/>
      <c r="V51" s="126"/>
      <c r="W51" s="126"/>
      <c r="X51" s="128" t="str">
        <f t="shared" si="52"/>
        <v/>
      </c>
      <c r="Y51" s="129" t="str">
        <f t="shared" si="1"/>
        <v/>
      </c>
      <c r="Z51" s="130" t="str">
        <f t="shared" si="49"/>
        <v/>
      </c>
      <c r="AA51" s="129" t="str">
        <f t="shared" si="3"/>
        <v/>
      </c>
      <c r="AB51" s="138" t="str">
        <f t="shared" si="53"/>
        <v/>
      </c>
      <c r="AC51" s="131" t="str">
        <f t="shared" si="54"/>
        <v/>
      </c>
      <c r="AD51" s="132"/>
      <c r="AE51" s="133"/>
      <c r="AF51" s="134"/>
      <c r="AG51" s="135"/>
      <c r="AH51" s="135"/>
      <c r="AI51" s="133"/>
      <c r="AJ51" s="134"/>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hidden="1" customHeight="1" x14ac:dyDescent="0.3">
      <c r="A52" s="213">
        <v>8</v>
      </c>
      <c r="B52" s="216"/>
      <c r="C52" s="216"/>
      <c r="D52" s="216"/>
      <c r="E52" s="219"/>
      <c r="F52" s="216"/>
      <c r="G52" s="222"/>
      <c r="H52" s="225" t="str">
        <f>IF(G52&lt;=0,"",IF(G52&lt;=2,"Muy Baja",IF(G52&lt;=24,"Baja",IF(G52&lt;=500,"Media",IF(G52&lt;=5000,"Alta","Muy Alta")))))</f>
        <v/>
      </c>
      <c r="I52" s="207" t="str">
        <f>IF(H52="","",IF(H52="Muy Baja",0.2,IF(H52="Baja",0.4,IF(H52="Media",0.6,IF(H52="Alta",0.8,IF(H52="Muy Alta",1,))))))</f>
        <v/>
      </c>
      <c r="J52" s="228"/>
      <c r="K52" s="207">
        <f ca="1">IF(NOT(ISERROR(MATCH(J52,'Tabla Impacto'!$B$221:$B$223,0))),'Tabla Impacto'!$F$223&amp;"Por favor no seleccionar los criterios de impacto(Afectación Económica o presupuestal y Pérdida Reputacional)",J52)</f>
        <v>0</v>
      </c>
      <c r="L52" s="225" t="str">
        <f ca="1">IF(OR(K52='Tabla Impacto'!$C$11,K52='Tabla Impacto'!$D$11),"Leve",IF(OR(K52='Tabla Impacto'!$C$12,K52='Tabla Impacto'!$D$12),"Menor",IF(OR(K52='Tabla Impacto'!$C$13,K52='Tabla Impacto'!$D$13),"Moderado",IF(OR(K52='Tabla Impacto'!$C$14,K52='Tabla Impacto'!$D$14),"Mayor",IF(OR(K52='Tabla Impacto'!$C$15,K52='Tabla Impacto'!$D$15),"Catastrófico","")))))</f>
        <v/>
      </c>
      <c r="M52" s="207" t="str">
        <f ca="1">IF(L52="","",IF(L52="Leve",0.2,IF(L52="Menor",0.4,IF(L52="Moderado",0.6,IF(L52="Mayor",0.8,IF(L52="Catastrófico",1,))))))</f>
        <v/>
      </c>
      <c r="N52" s="210"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39">
        <v>1</v>
      </c>
      <c r="P52" s="124"/>
      <c r="Q52" s="125" t="str">
        <f>IF(OR(R52="Preventivo",R52="Detectivo"),"Probabilidad",IF(R52="Correctivo","Impacto",""))</f>
        <v/>
      </c>
      <c r="R52" s="126"/>
      <c r="S52" s="126"/>
      <c r="T52" s="127" t="str">
        <f>IF(AND(R52="Preventivo",S52="Automático"),"50%",IF(AND(R52="Preventivo",S52="Manual"),"40%",IF(AND(R52="Detectivo",S52="Automático"),"40%",IF(AND(R52="Detectivo",S52="Manual"),"30%",IF(AND(R52="Correctivo",S52="Automático"),"35%",IF(AND(R52="Correctivo",S52="Manual"),"25%",""))))))</f>
        <v/>
      </c>
      <c r="U52" s="126"/>
      <c r="V52" s="126"/>
      <c r="W52" s="126"/>
      <c r="X52" s="128" t="str">
        <f>IFERROR(IF(Q52="Probabilidad",(I52-(+I52*T52)),IF(Q52="Impacto",I52,"")),"")</f>
        <v/>
      </c>
      <c r="Y52" s="129" t="str">
        <f>IFERROR(IF(X52="","",IF(X52&lt;=0.2,"Muy Baja",IF(X52&lt;=0.4,"Baja",IF(X52&lt;=0.6,"Media",IF(X52&lt;=0.8,"Alta","Muy Alta"))))),"")</f>
        <v/>
      </c>
      <c r="Z52" s="130" t="str">
        <f>+X52</f>
        <v/>
      </c>
      <c r="AA52" s="129" t="str">
        <f>IFERROR(IF(AB52="","",IF(AB52&lt;=0.2,"Leve",IF(AB52&lt;=0.4,"Menor",IF(AB52&lt;=0.6,"Moderado",IF(AB52&lt;=0.8,"Mayor","Catastrófico"))))),"")</f>
        <v/>
      </c>
      <c r="AB52" s="138" t="str">
        <f>IFERROR(IF(Q52="Impacto",(M52-(+M52*T52)),IF(Q52="Probabilidad",M52,"")),"")</f>
        <v/>
      </c>
      <c r="AC52" s="13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2"/>
      <c r="AE52" s="133"/>
      <c r="AF52" s="134"/>
      <c r="AG52" s="135"/>
      <c r="AH52" s="135"/>
      <c r="AI52" s="133"/>
      <c r="AJ52" s="134"/>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78" hidden="1" customHeight="1" x14ac:dyDescent="0.3">
      <c r="A53" s="214"/>
      <c r="B53" s="217"/>
      <c r="C53" s="217"/>
      <c r="D53" s="217"/>
      <c r="E53" s="220"/>
      <c r="F53" s="217"/>
      <c r="G53" s="223"/>
      <c r="H53" s="226"/>
      <c r="I53" s="208"/>
      <c r="J53" s="229"/>
      <c r="K53" s="208">
        <f ca="1">IF(NOT(ISERROR(MATCH(J53,_xlfn.ANCHORARRAY(E64),0))),I66&amp;"Por favor no seleccionar los criterios de impacto",J53)</f>
        <v>0</v>
      </c>
      <c r="L53" s="226"/>
      <c r="M53" s="208"/>
      <c r="N53" s="211"/>
      <c r="O53" s="139">
        <v>2</v>
      </c>
      <c r="P53" s="124"/>
      <c r="Q53" s="125" t="str">
        <f>IF(OR(R53="Preventivo",R53="Detectivo"),"Probabilidad",IF(R53="Correctivo","Impacto",""))</f>
        <v/>
      </c>
      <c r="R53" s="126"/>
      <c r="S53" s="126"/>
      <c r="T53" s="127" t="str">
        <f t="shared" ref="T53:T57" si="55">IF(AND(R53="Preventivo",S53="Automático"),"50%",IF(AND(R53="Preventivo",S53="Manual"),"40%",IF(AND(R53="Detectivo",S53="Automático"),"40%",IF(AND(R53="Detectivo",S53="Manual"),"30%",IF(AND(R53="Correctivo",S53="Automático"),"35%",IF(AND(R53="Correctivo",S53="Manual"),"25%",""))))))</f>
        <v/>
      </c>
      <c r="U53" s="126"/>
      <c r="V53" s="126"/>
      <c r="W53" s="126"/>
      <c r="X53" s="128" t="str">
        <f>IFERROR(IF(AND(Q52="Probabilidad",Q53="Probabilidad"),(Z52-(+Z52*T53)),IF(Q53="Probabilidad",(I52-(+I52*T53)),IF(Q53="Impacto",Z52,""))),"")</f>
        <v/>
      </c>
      <c r="Y53" s="129" t="str">
        <f t="shared" si="1"/>
        <v/>
      </c>
      <c r="Z53" s="130" t="str">
        <f t="shared" ref="Z53:Z57" si="56">+X53</f>
        <v/>
      </c>
      <c r="AA53" s="129" t="str">
        <f t="shared" si="3"/>
        <v/>
      </c>
      <c r="AB53" s="138" t="str">
        <f>IFERROR(IF(AND(Q52="Impacto",Q53="Impacto"),(AB52-(+AB52*T53)),IF(Q53="Impacto",(M52-(+M52*T53)),IF(Q53="Probabilidad",AB52,""))),"")</f>
        <v/>
      </c>
      <c r="AC53" s="131"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2"/>
      <c r="AE53" s="133"/>
      <c r="AF53" s="134"/>
      <c r="AG53" s="135"/>
      <c r="AH53" s="135"/>
      <c r="AI53" s="133"/>
      <c r="AJ53" s="134"/>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hidden="1" customHeight="1" x14ac:dyDescent="0.3">
      <c r="A54" s="214"/>
      <c r="B54" s="217"/>
      <c r="C54" s="217"/>
      <c r="D54" s="217"/>
      <c r="E54" s="220"/>
      <c r="F54" s="217"/>
      <c r="G54" s="223"/>
      <c r="H54" s="226"/>
      <c r="I54" s="208"/>
      <c r="J54" s="229"/>
      <c r="K54" s="208">
        <f ca="1">IF(NOT(ISERROR(MATCH(J54,_xlfn.ANCHORARRAY(E65),0))),I67&amp;"Por favor no seleccionar los criterios de impacto",J54)</f>
        <v>0</v>
      </c>
      <c r="L54" s="226"/>
      <c r="M54" s="208"/>
      <c r="N54" s="211"/>
      <c r="O54" s="139">
        <v>3</v>
      </c>
      <c r="P54" s="136"/>
      <c r="Q54" s="125" t="str">
        <f>IF(OR(R54="Preventivo",R54="Detectivo"),"Probabilidad",IF(R54="Correctivo","Impacto",""))</f>
        <v/>
      </c>
      <c r="R54" s="126"/>
      <c r="S54" s="126"/>
      <c r="T54" s="127" t="str">
        <f t="shared" si="55"/>
        <v/>
      </c>
      <c r="U54" s="126"/>
      <c r="V54" s="126"/>
      <c r="W54" s="126"/>
      <c r="X54" s="128" t="str">
        <f>IFERROR(IF(AND(Q53="Probabilidad",Q54="Probabilidad"),(Z53-(+Z53*T54)),IF(AND(Q53="Impacto",Q54="Probabilidad"),(Z52-(+Z52*T54)),IF(Q54="Impacto",Z53,""))),"")</f>
        <v/>
      </c>
      <c r="Y54" s="129" t="str">
        <f t="shared" si="1"/>
        <v/>
      </c>
      <c r="Z54" s="130" t="str">
        <f t="shared" si="56"/>
        <v/>
      </c>
      <c r="AA54" s="129" t="str">
        <f t="shared" si="3"/>
        <v/>
      </c>
      <c r="AB54" s="138" t="str">
        <f>IFERROR(IF(AND(Q53="Impacto",Q54="Impacto"),(AB53-(+AB53*T54)),IF(AND(Q53="Probabilidad",Q54="Impacto"),(AB52-(+AB52*T54)),IF(Q54="Probabilidad",AB53,""))),"")</f>
        <v/>
      </c>
      <c r="AC54" s="131" t="str">
        <f t="shared" si="57"/>
        <v/>
      </c>
      <c r="AD54" s="132"/>
      <c r="AE54" s="133"/>
      <c r="AF54" s="134"/>
      <c r="AG54" s="135"/>
      <c r="AH54" s="135"/>
      <c r="AI54" s="133"/>
      <c r="AJ54" s="134"/>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4.5" hidden="1" customHeight="1" x14ac:dyDescent="0.3">
      <c r="A55" s="214"/>
      <c r="B55" s="217"/>
      <c r="C55" s="217"/>
      <c r="D55" s="217"/>
      <c r="E55" s="220"/>
      <c r="F55" s="217"/>
      <c r="G55" s="223"/>
      <c r="H55" s="226"/>
      <c r="I55" s="208"/>
      <c r="J55" s="229"/>
      <c r="K55" s="208">
        <f ca="1">IF(NOT(ISERROR(MATCH(J55,_xlfn.ANCHORARRAY(E66),0))),I68&amp;"Por favor no seleccionar los criterios de impacto",J55)</f>
        <v>0</v>
      </c>
      <c r="L55" s="226"/>
      <c r="M55" s="208"/>
      <c r="N55" s="211"/>
      <c r="O55" s="139">
        <v>4</v>
      </c>
      <c r="P55" s="124"/>
      <c r="Q55" s="125" t="str">
        <f t="shared" ref="Q55:Q57" si="58">IF(OR(R55="Preventivo",R55="Detectivo"),"Probabilidad",IF(R55="Correctivo","Impacto",""))</f>
        <v/>
      </c>
      <c r="R55" s="126"/>
      <c r="S55" s="126"/>
      <c r="T55" s="127" t="str">
        <f t="shared" si="55"/>
        <v/>
      </c>
      <c r="U55" s="126"/>
      <c r="V55" s="126"/>
      <c r="W55" s="126"/>
      <c r="X55" s="128" t="str">
        <f t="shared" ref="X55:X57" si="59">IFERROR(IF(AND(Q54="Probabilidad",Q55="Probabilidad"),(Z54-(+Z54*T55)),IF(AND(Q54="Impacto",Q55="Probabilidad"),(Z53-(+Z53*T55)),IF(Q55="Impacto",Z54,""))),"")</f>
        <v/>
      </c>
      <c r="Y55" s="129" t="str">
        <f t="shared" si="1"/>
        <v/>
      </c>
      <c r="Z55" s="130" t="str">
        <f t="shared" si="56"/>
        <v/>
      </c>
      <c r="AA55" s="129" t="str">
        <f t="shared" si="3"/>
        <v/>
      </c>
      <c r="AB55" s="138" t="str">
        <f t="shared" ref="AB55:AB57" si="60">IFERROR(IF(AND(Q54="Impacto",Q55="Impacto"),(AB54-(+AB54*T55)),IF(AND(Q54="Probabilidad",Q55="Impacto"),(AB53-(+AB53*T55)),IF(Q55="Probabilidad",AB54,""))),"")</f>
        <v/>
      </c>
      <c r="AC55" s="131"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2"/>
      <c r="AE55" s="133"/>
      <c r="AF55" s="134"/>
      <c r="AG55" s="135"/>
      <c r="AH55" s="135"/>
      <c r="AI55" s="133"/>
      <c r="AJ55" s="134"/>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hidden="1" customHeight="1" x14ac:dyDescent="0.3">
      <c r="A56" s="214"/>
      <c r="B56" s="217"/>
      <c r="C56" s="217"/>
      <c r="D56" s="217"/>
      <c r="E56" s="220"/>
      <c r="F56" s="217"/>
      <c r="G56" s="223"/>
      <c r="H56" s="226"/>
      <c r="I56" s="208"/>
      <c r="J56" s="229"/>
      <c r="K56" s="208">
        <f ca="1">IF(NOT(ISERROR(MATCH(J56,_xlfn.ANCHORARRAY(E67),0))),I69&amp;"Por favor no seleccionar los criterios de impacto",J56)</f>
        <v>0</v>
      </c>
      <c r="L56" s="226"/>
      <c r="M56" s="208"/>
      <c r="N56" s="211"/>
      <c r="O56" s="139">
        <v>5</v>
      </c>
      <c r="P56" s="124"/>
      <c r="Q56" s="125" t="str">
        <f t="shared" si="58"/>
        <v/>
      </c>
      <c r="R56" s="126"/>
      <c r="S56" s="126"/>
      <c r="T56" s="127" t="str">
        <f t="shared" si="55"/>
        <v/>
      </c>
      <c r="U56" s="126"/>
      <c r="V56" s="126"/>
      <c r="W56" s="126"/>
      <c r="X56" s="128" t="str">
        <f t="shared" si="59"/>
        <v/>
      </c>
      <c r="Y56" s="129" t="str">
        <f t="shared" si="1"/>
        <v/>
      </c>
      <c r="Z56" s="130" t="str">
        <f t="shared" si="56"/>
        <v/>
      </c>
      <c r="AA56" s="129" t="str">
        <f t="shared" si="3"/>
        <v/>
      </c>
      <c r="AB56" s="138" t="str">
        <f t="shared" si="60"/>
        <v/>
      </c>
      <c r="AC56" s="131"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2"/>
      <c r="AE56" s="133"/>
      <c r="AF56" s="134"/>
      <c r="AG56" s="135"/>
      <c r="AH56" s="135"/>
      <c r="AI56" s="133"/>
      <c r="AJ56" s="134"/>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hidden="1" customHeight="1" x14ac:dyDescent="0.3">
      <c r="A57" s="215"/>
      <c r="B57" s="218"/>
      <c r="C57" s="218"/>
      <c r="D57" s="218"/>
      <c r="E57" s="221"/>
      <c r="F57" s="218"/>
      <c r="G57" s="224"/>
      <c r="H57" s="227"/>
      <c r="I57" s="209"/>
      <c r="J57" s="230"/>
      <c r="K57" s="209">
        <f ca="1">IF(NOT(ISERROR(MATCH(J57,_xlfn.ANCHORARRAY(E68),0))),I70&amp;"Por favor no seleccionar los criterios de impacto",J57)</f>
        <v>0</v>
      </c>
      <c r="L57" s="227"/>
      <c r="M57" s="209"/>
      <c r="N57" s="212"/>
      <c r="O57" s="139">
        <v>6</v>
      </c>
      <c r="P57" s="124"/>
      <c r="Q57" s="125" t="str">
        <f t="shared" si="58"/>
        <v/>
      </c>
      <c r="R57" s="126"/>
      <c r="S57" s="126"/>
      <c r="T57" s="127" t="str">
        <f t="shared" si="55"/>
        <v/>
      </c>
      <c r="U57" s="126"/>
      <c r="V57" s="126"/>
      <c r="W57" s="126"/>
      <c r="X57" s="128" t="str">
        <f t="shared" si="59"/>
        <v/>
      </c>
      <c r="Y57" s="129" t="str">
        <f t="shared" si="1"/>
        <v/>
      </c>
      <c r="Z57" s="130" t="str">
        <f t="shared" si="56"/>
        <v/>
      </c>
      <c r="AA57" s="129" t="str">
        <f t="shared" si="3"/>
        <v/>
      </c>
      <c r="AB57" s="138" t="str">
        <f t="shared" si="60"/>
        <v/>
      </c>
      <c r="AC57" s="131" t="str">
        <f t="shared" si="61"/>
        <v/>
      </c>
      <c r="AD57" s="132"/>
      <c r="AE57" s="133"/>
      <c r="AF57" s="134"/>
      <c r="AG57" s="135"/>
      <c r="AH57" s="135"/>
      <c r="AI57" s="133"/>
      <c r="AJ57" s="134"/>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hidden="1" customHeight="1" x14ac:dyDescent="0.3">
      <c r="A58" s="213">
        <v>9</v>
      </c>
      <c r="B58" s="216"/>
      <c r="C58" s="216"/>
      <c r="D58" s="216"/>
      <c r="E58" s="219"/>
      <c r="F58" s="216"/>
      <c r="G58" s="222"/>
      <c r="H58" s="225" t="str">
        <f>IF(G58&lt;=0,"",IF(G58&lt;=2,"Muy Baja",IF(G58&lt;=24,"Baja",IF(G58&lt;=500,"Media",IF(G58&lt;=5000,"Alta","Muy Alta")))))</f>
        <v/>
      </c>
      <c r="I58" s="207" t="str">
        <f>IF(H58="","",IF(H58="Muy Baja",0.2,IF(H58="Baja",0.4,IF(H58="Media",0.6,IF(H58="Alta",0.8,IF(H58="Muy Alta",1,))))))</f>
        <v/>
      </c>
      <c r="J58" s="228"/>
      <c r="K58" s="207">
        <f ca="1">IF(NOT(ISERROR(MATCH(J58,'Tabla Impacto'!$B$221:$B$223,0))),'Tabla Impacto'!$F$223&amp;"Por favor no seleccionar los criterios de impacto(Afectación Económica o presupuestal y Pérdida Reputacional)",J58)</f>
        <v>0</v>
      </c>
      <c r="L58" s="225" t="str">
        <f ca="1">IF(OR(K58='Tabla Impacto'!$C$11,K58='Tabla Impacto'!$D$11),"Leve",IF(OR(K58='Tabla Impacto'!$C$12,K58='Tabla Impacto'!$D$12),"Menor",IF(OR(K58='Tabla Impacto'!$C$13,K58='Tabla Impacto'!$D$13),"Moderado",IF(OR(K58='Tabla Impacto'!$C$14,K58='Tabla Impacto'!$D$14),"Mayor",IF(OR(K58='Tabla Impacto'!$C$15,K58='Tabla Impacto'!$D$15),"Catastrófico","")))))</f>
        <v/>
      </c>
      <c r="M58" s="207" t="str">
        <f ca="1">IF(L58="","",IF(L58="Leve",0.2,IF(L58="Menor",0.4,IF(L58="Moderado",0.6,IF(L58="Mayor",0.8,IF(L58="Catastrófico",1,))))))</f>
        <v/>
      </c>
      <c r="N58" s="210"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39">
        <v>1</v>
      </c>
      <c r="P58" s="124"/>
      <c r="Q58" s="125" t="str">
        <f>IF(OR(R58="Preventivo",R58="Detectivo"),"Probabilidad",IF(R58="Correctivo","Impacto",""))</f>
        <v/>
      </c>
      <c r="R58" s="126"/>
      <c r="S58" s="126"/>
      <c r="T58" s="127" t="str">
        <f>IF(AND(R58="Preventivo",S58="Automático"),"50%",IF(AND(R58="Preventivo",S58="Manual"),"40%",IF(AND(R58="Detectivo",S58="Automático"),"40%",IF(AND(R58="Detectivo",S58="Manual"),"30%",IF(AND(R58="Correctivo",S58="Automático"),"35%",IF(AND(R58="Correctivo",S58="Manual"),"25%",""))))))</f>
        <v/>
      </c>
      <c r="U58" s="126"/>
      <c r="V58" s="126"/>
      <c r="W58" s="126"/>
      <c r="X58" s="128" t="str">
        <f>IFERROR(IF(Q58="Probabilidad",(I58-(+I58*T58)),IF(Q58="Impacto",I58,"")),"")</f>
        <v/>
      </c>
      <c r="Y58" s="129" t="str">
        <f>IFERROR(IF(X58="","",IF(X58&lt;=0.2,"Muy Baja",IF(X58&lt;=0.4,"Baja",IF(X58&lt;=0.6,"Media",IF(X58&lt;=0.8,"Alta","Muy Alta"))))),"")</f>
        <v/>
      </c>
      <c r="Z58" s="130" t="str">
        <f>+X58</f>
        <v/>
      </c>
      <c r="AA58" s="129" t="str">
        <f>IFERROR(IF(AB58="","",IF(AB58&lt;=0.2,"Leve",IF(AB58&lt;=0.4,"Menor",IF(AB58&lt;=0.6,"Moderado",IF(AB58&lt;=0.8,"Mayor","Catastrófico"))))),"")</f>
        <v/>
      </c>
      <c r="AB58" s="138" t="str">
        <f>IFERROR(IF(Q58="Impacto",(M58-(+M58*T58)),IF(Q58="Probabilidad",M58,"")),"")</f>
        <v/>
      </c>
      <c r="AC58" s="13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2"/>
      <c r="AE58" s="133"/>
      <c r="AF58" s="134"/>
      <c r="AG58" s="135"/>
      <c r="AH58" s="135"/>
      <c r="AI58" s="133"/>
      <c r="AJ58" s="134"/>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hidden="1" customHeight="1" x14ac:dyDescent="0.3">
      <c r="A59" s="214"/>
      <c r="B59" s="217"/>
      <c r="C59" s="217"/>
      <c r="D59" s="217"/>
      <c r="E59" s="220"/>
      <c r="F59" s="217"/>
      <c r="G59" s="223"/>
      <c r="H59" s="226"/>
      <c r="I59" s="208"/>
      <c r="J59" s="229"/>
      <c r="K59" s="208">
        <f ca="1">IF(NOT(ISERROR(MATCH(J59,_xlfn.ANCHORARRAY(E70),0))),I72&amp;"Por favor no seleccionar los criterios de impacto",J59)</f>
        <v>0</v>
      </c>
      <c r="L59" s="226"/>
      <c r="M59" s="208"/>
      <c r="N59" s="211"/>
      <c r="O59" s="139">
        <v>2</v>
      </c>
      <c r="P59" s="124"/>
      <c r="Q59" s="125" t="str">
        <f>IF(OR(R59="Preventivo",R59="Detectivo"),"Probabilidad",IF(R59="Correctivo","Impacto",""))</f>
        <v/>
      </c>
      <c r="R59" s="126"/>
      <c r="S59" s="126"/>
      <c r="T59" s="127" t="str">
        <f t="shared" ref="T59:T63" si="62">IF(AND(R59="Preventivo",S59="Automático"),"50%",IF(AND(R59="Preventivo",S59="Manual"),"40%",IF(AND(R59="Detectivo",S59="Automático"),"40%",IF(AND(R59="Detectivo",S59="Manual"),"30%",IF(AND(R59="Correctivo",S59="Automático"),"35%",IF(AND(R59="Correctivo",S59="Manual"),"25%",""))))))</f>
        <v/>
      </c>
      <c r="U59" s="126"/>
      <c r="V59" s="126"/>
      <c r="W59" s="126"/>
      <c r="X59" s="128" t="str">
        <f>IFERROR(IF(AND(Q58="Probabilidad",Q59="Probabilidad"),(Z58-(+Z58*T59)),IF(Q59="Probabilidad",(I58-(+I58*T59)),IF(Q59="Impacto",Z58,""))),"")</f>
        <v/>
      </c>
      <c r="Y59" s="129" t="str">
        <f t="shared" si="1"/>
        <v/>
      </c>
      <c r="Z59" s="130" t="str">
        <f t="shared" ref="Z59:Z63" si="63">+X59</f>
        <v/>
      </c>
      <c r="AA59" s="129" t="str">
        <f t="shared" si="3"/>
        <v/>
      </c>
      <c r="AB59" s="138" t="str">
        <f>IFERROR(IF(AND(Q58="Impacto",Q59="Impacto"),(AB58-(+AB58*T59)),IF(Q59="Impacto",(M58-(+M58*T59)),IF(Q59="Probabilidad",AB58,""))),"")</f>
        <v/>
      </c>
      <c r="AC59" s="131"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2"/>
      <c r="AE59" s="133"/>
      <c r="AF59" s="134"/>
      <c r="AG59" s="135"/>
      <c r="AH59" s="135"/>
      <c r="AI59" s="133"/>
      <c r="AJ59" s="134"/>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81" hidden="1" customHeight="1" x14ac:dyDescent="0.3">
      <c r="A60" s="214"/>
      <c r="B60" s="217"/>
      <c r="C60" s="217"/>
      <c r="D60" s="217"/>
      <c r="E60" s="220"/>
      <c r="F60" s="217"/>
      <c r="G60" s="223"/>
      <c r="H60" s="226"/>
      <c r="I60" s="208"/>
      <c r="J60" s="229"/>
      <c r="K60" s="208">
        <f ca="1">IF(NOT(ISERROR(MATCH(J60,_xlfn.ANCHORARRAY(E71),0))),I73&amp;"Por favor no seleccionar los criterios de impacto",J60)</f>
        <v>0</v>
      </c>
      <c r="L60" s="226"/>
      <c r="M60" s="208"/>
      <c r="N60" s="211"/>
      <c r="O60" s="139">
        <v>3</v>
      </c>
      <c r="P60" s="136"/>
      <c r="Q60" s="125" t="str">
        <f>IF(OR(R60="Preventivo",R60="Detectivo"),"Probabilidad",IF(R60="Correctivo","Impacto",""))</f>
        <v/>
      </c>
      <c r="R60" s="126"/>
      <c r="S60" s="126"/>
      <c r="T60" s="127" t="str">
        <f t="shared" si="62"/>
        <v/>
      </c>
      <c r="U60" s="126"/>
      <c r="V60" s="126"/>
      <c r="W60" s="126"/>
      <c r="X60" s="128" t="str">
        <f>IFERROR(IF(AND(Q59="Probabilidad",Q60="Probabilidad"),(Z59-(+Z59*T60)),IF(AND(Q59="Impacto",Q60="Probabilidad"),(Z58-(+Z58*T60)),IF(Q60="Impacto",Z59,""))),"")</f>
        <v/>
      </c>
      <c r="Y60" s="129" t="str">
        <f t="shared" si="1"/>
        <v/>
      </c>
      <c r="Z60" s="130" t="str">
        <f t="shared" si="63"/>
        <v/>
      </c>
      <c r="AA60" s="129" t="str">
        <f t="shared" si="3"/>
        <v/>
      </c>
      <c r="AB60" s="138" t="str">
        <f>IFERROR(IF(AND(Q59="Impacto",Q60="Impacto"),(AB59-(+AB59*T60)),IF(AND(Q59="Probabilidad",Q60="Impacto"),(AB58-(+AB58*T60)),IF(Q60="Probabilidad",AB59,""))),"")</f>
        <v/>
      </c>
      <c r="AC60" s="131" t="str">
        <f t="shared" si="64"/>
        <v/>
      </c>
      <c r="AD60" s="132"/>
      <c r="AE60" s="133"/>
      <c r="AF60" s="134"/>
      <c r="AG60" s="135"/>
      <c r="AH60" s="135"/>
      <c r="AI60" s="133"/>
      <c r="AJ60" s="134"/>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hidden="1" customHeight="1" x14ac:dyDescent="0.3">
      <c r="A61" s="214"/>
      <c r="B61" s="217"/>
      <c r="C61" s="217"/>
      <c r="D61" s="217"/>
      <c r="E61" s="220"/>
      <c r="F61" s="217"/>
      <c r="G61" s="223"/>
      <c r="H61" s="226"/>
      <c r="I61" s="208"/>
      <c r="J61" s="229"/>
      <c r="K61" s="208">
        <f ca="1">IF(NOT(ISERROR(MATCH(J61,_xlfn.ANCHORARRAY(E72),0))),#REF!&amp;"Por favor no seleccionar los criterios de impacto",J61)</f>
        <v>0</v>
      </c>
      <c r="L61" s="226"/>
      <c r="M61" s="208"/>
      <c r="N61" s="211"/>
      <c r="O61" s="139">
        <v>4</v>
      </c>
      <c r="P61" s="124"/>
      <c r="Q61" s="125" t="str">
        <f t="shared" ref="Q61:Q63" si="65">IF(OR(R61="Preventivo",R61="Detectivo"),"Probabilidad",IF(R61="Correctivo","Impacto",""))</f>
        <v/>
      </c>
      <c r="R61" s="126"/>
      <c r="S61" s="126"/>
      <c r="T61" s="127" t="str">
        <f t="shared" si="62"/>
        <v/>
      </c>
      <c r="U61" s="126"/>
      <c r="V61" s="126"/>
      <c r="W61" s="126"/>
      <c r="X61" s="128" t="str">
        <f t="shared" ref="X61:X63" si="66">IFERROR(IF(AND(Q60="Probabilidad",Q61="Probabilidad"),(Z60-(+Z60*T61)),IF(AND(Q60="Impacto",Q61="Probabilidad"),(Z59-(+Z59*T61)),IF(Q61="Impacto",Z60,""))),"")</f>
        <v/>
      </c>
      <c r="Y61" s="129" t="str">
        <f t="shared" si="1"/>
        <v/>
      </c>
      <c r="Z61" s="130" t="str">
        <f t="shared" si="63"/>
        <v/>
      </c>
      <c r="AA61" s="129" t="str">
        <f t="shared" si="3"/>
        <v/>
      </c>
      <c r="AB61" s="138" t="str">
        <f t="shared" ref="AB61:AB63" si="67">IFERROR(IF(AND(Q60="Impacto",Q61="Impacto"),(AB60-(+AB60*T61)),IF(AND(Q60="Probabilidad",Q61="Impacto"),(AB59-(+AB59*T61)),IF(Q61="Probabilidad",AB60,""))),"")</f>
        <v/>
      </c>
      <c r="AC61" s="131"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2"/>
      <c r="AE61" s="133"/>
      <c r="AF61" s="134"/>
      <c r="AG61" s="135"/>
      <c r="AH61" s="135"/>
      <c r="AI61" s="133"/>
      <c r="AJ61" s="134"/>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hidden="1" customHeight="1" x14ac:dyDescent="0.3">
      <c r="A62" s="214"/>
      <c r="B62" s="217"/>
      <c r="C62" s="217"/>
      <c r="D62" s="217"/>
      <c r="E62" s="220"/>
      <c r="F62" s="217"/>
      <c r="G62" s="223"/>
      <c r="H62" s="226"/>
      <c r="I62" s="208"/>
      <c r="J62" s="229"/>
      <c r="K62" s="208">
        <f ca="1">IF(NOT(ISERROR(MATCH(J62,_xlfn.ANCHORARRAY(E73),0))),#REF!&amp;"Por favor no seleccionar los criterios de impacto",J62)</f>
        <v>0</v>
      </c>
      <c r="L62" s="226"/>
      <c r="M62" s="208"/>
      <c r="N62" s="211"/>
      <c r="O62" s="139">
        <v>5</v>
      </c>
      <c r="P62" s="124"/>
      <c r="Q62" s="125" t="str">
        <f t="shared" si="65"/>
        <v/>
      </c>
      <c r="R62" s="126"/>
      <c r="S62" s="126"/>
      <c r="T62" s="127" t="str">
        <f t="shared" si="62"/>
        <v/>
      </c>
      <c r="U62" s="126"/>
      <c r="V62" s="126"/>
      <c r="W62" s="126"/>
      <c r="X62" s="128" t="str">
        <f t="shared" si="66"/>
        <v/>
      </c>
      <c r="Y62" s="129" t="str">
        <f t="shared" si="1"/>
        <v/>
      </c>
      <c r="Z62" s="130" t="str">
        <f t="shared" si="63"/>
        <v/>
      </c>
      <c r="AA62" s="129" t="str">
        <f t="shared" si="3"/>
        <v/>
      </c>
      <c r="AB62" s="138" t="str">
        <f t="shared" si="67"/>
        <v/>
      </c>
      <c r="AC62" s="131"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2"/>
      <c r="AE62" s="133"/>
      <c r="AF62" s="134"/>
      <c r="AG62" s="135"/>
      <c r="AH62" s="135"/>
      <c r="AI62" s="133"/>
      <c r="AJ62" s="134"/>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hidden="1" customHeight="1" x14ac:dyDescent="0.3">
      <c r="A63" s="215"/>
      <c r="B63" s="218"/>
      <c r="C63" s="218"/>
      <c r="D63" s="218"/>
      <c r="E63" s="221"/>
      <c r="F63" s="218"/>
      <c r="G63" s="224"/>
      <c r="H63" s="227"/>
      <c r="I63" s="209"/>
      <c r="J63" s="230"/>
      <c r="K63" s="209">
        <f ca="1">IF(NOT(ISERROR(MATCH(J63,_xlfn.ANCHORARRAY(#REF!),0))),I74&amp;"Por favor no seleccionar los criterios de impacto",J63)</f>
        <v>0</v>
      </c>
      <c r="L63" s="227"/>
      <c r="M63" s="209"/>
      <c r="N63" s="212"/>
      <c r="O63" s="139">
        <v>6</v>
      </c>
      <c r="P63" s="124"/>
      <c r="Q63" s="125" t="str">
        <f t="shared" si="65"/>
        <v/>
      </c>
      <c r="R63" s="126"/>
      <c r="S63" s="126"/>
      <c r="T63" s="127" t="str">
        <f t="shared" si="62"/>
        <v/>
      </c>
      <c r="U63" s="126"/>
      <c r="V63" s="126"/>
      <c r="W63" s="126"/>
      <c r="X63" s="128" t="str">
        <f t="shared" si="66"/>
        <v/>
      </c>
      <c r="Y63" s="129" t="str">
        <f t="shared" si="1"/>
        <v/>
      </c>
      <c r="Z63" s="130" t="str">
        <f t="shared" si="63"/>
        <v/>
      </c>
      <c r="AA63" s="129" t="str">
        <f t="shared" si="3"/>
        <v/>
      </c>
      <c r="AB63" s="138" t="str">
        <f t="shared" si="67"/>
        <v/>
      </c>
      <c r="AC63" s="131" t="str">
        <f t="shared" si="68"/>
        <v/>
      </c>
      <c r="AD63" s="132"/>
      <c r="AE63" s="133"/>
      <c r="AF63" s="134"/>
      <c r="AG63" s="135"/>
      <c r="AH63" s="135"/>
      <c r="AI63" s="133"/>
      <c r="AJ63" s="134"/>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hidden="1" customHeight="1" x14ac:dyDescent="0.3">
      <c r="A64" s="213">
        <v>10</v>
      </c>
      <c r="B64" s="216"/>
      <c r="C64" s="216"/>
      <c r="D64" s="216"/>
      <c r="E64" s="219"/>
      <c r="F64" s="216"/>
      <c r="G64" s="222"/>
      <c r="H64" s="225" t="str">
        <f>IF(G64&lt;=0,"",IF(G64&lt;=2,"Muy Baja",IF(G64&lt;=24,"Baja",IF(G64&lt;=500,"Media",IF(G64&lt;=5000,"Alta","Muy Alta")))))</f>
        <v/>
      </c>
      <c r="I64" s="207" t="str">
        <f>IF(H64="","",IF(H64="Muy Baja",0.2,IF(H64="Baja",0.4,IF(H64="Media",0.6,IF(H64="Alta",0.8,IF(H64="Muy Alta",1,))))))</f>
        <v/>
      </c>
      <c r="J64" s="228"/>
      <c r="K64" s="207">
        <f ca="1">IF(NOT(ISERROR(MATCH(J64,'Tabla Impacto'!$B$221:$B$223,0))),'Tabla Impacto'!$F$223&amp;"Por favor no seleccionar los criterios de impacto(Afectación Económica o presupuestal y Pérdida Reputacional)",J64)</f>
        <v>0</v>
      </c>
      <c r="L64" s="225" t="str">
        <f ca="1">IF(OR(K64='Tabla Impacto'!$C$11,K64='Tabla Impacto'!$D$11),"Leve",IF(OR(K64='Tabla Impacto'!$C$12,K64='Tabla Impacto'!$D$12),"Menor",IF(OR(K64='Tabla Impacto'!$C$13,K64='Tabla Impacto'!$D$13),"Moderado",IF(OR(K64='Tabla Impacto'!$C$14,K64='Tabla Impacto'!$D$14),"Mayor",IF(OR(K64='Tabla Impacto'!$C$15,K64='Tabla Impacto'!$D$15),"Catastrófico","")))))</f>
        <v/>
      </c>
      <c r="M64" s="207" t="str">
        <f ca="1">IF(L64="","",IF(L64="Leve",0.2,IF(L64="Menor",0.4,IF(L64="Moderado",0.6,IF(L64="Mayor",0.8,IF(L64="Catastrófico",1,))))))</f>
        <v/>
      </c>
      <c r="N64" s="210"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39">
        <v>1</v>
      </c>
      <c r="P64" s="124"/>
      <c r="Q64" s="125" t="str">
        <f>IF(OR(R64="Preventivo",R64="Detectivo"),"Probabilidad",IF(R64="Correctivo","Impacto",""))</f>
        <v/>
      </c>
      <c r="R64" s="126"/>
      <c r="S64" s="126"/>
      <c r="T64" s="127" t="str">
        <f>IF(AND(R64="Preventivo",S64="Automático"),"50%",IF(AND(R64="Preventivo",S64="Manual"),"40%",IF(AND(R64="Detectivo",S64="Automático"),"40%",IF(AND(R64="Detectivo",S64="Manual"),"30%",IF(AND(R64="Correctivo",S64="Automático"),"35%",IF(AND(R64="Correctivo",S64="Manual"),"25%",""))))))</f>
        <v/>
      </c>
      <c r="U64" s="126"/>
      <c r="V64" s="126"/>
      <c r="W64" s="126"/>
      <c r="X64" s="128" t="str">
        <f>IFERROR(IF(Q64="Probabilidad",(I64-(+I64*T64)),IF(Q64="Impacto",I64,"")),"")</f>
        <v/>
      </c>
      <c r="Y64" s="129" t="str">
        <f>IFERROR(IF(X64="","",IF(X64&lt;=0.2,"Muy Baja",IF(X64&lt;=0.4,"Baja",IF(X64&lt;=0.6,"Media",IF(X64&lt;=0.8,"Alta","Muy Alta"))))),"")</f>
        <v/>
      </c>
      <c r="Z64" s="130" t="str">
        <f>+X64</f>
        <v/>
      </c>
      <c r="AA64" s="129" t="str">
        <f>IFERROR(IF(AB64="","",IF(AB64&lt;=0.2,"Leve",IF(AB64&lt;=0.4,"Menor",IF(AB64&lt;=0.6,"Moderado",IF(AB64&lt;=0.8,"Mayor","Catastrófico"))))),"")</f>
        <v/>
      </c>
      <c r="AB64" s="138" t="str">
        <f>IFERROR(IF(Q64="Impacto",(M64-(+M64*T64)),IF(Q64="Probabilidad",M64,"")),"")</f>
        <v/>
      </c>
      <c r="AC64" s="13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2"/>
      <c r="AE64" s="133"/>
      <c r="AF64" s="134"/>
      <c r="AG64" s="135"/>
      <c r="AH64" s="135"/>
      <c r="AI64" s="133"/>
      <c r="AJ64" s="134"/>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hidden="1" customHeight="1" x14ac:dyDescent="0.3">
      <c r="A65" s="214"/>
      <c r="B65" s="217"/>
      <c r="C65" s="217"/>
      <c r="D65" s="217"/>
      <c r="E65" s="220"/>
      <c r="F65" s="217"/>
      <c r="G65" s="223"/>
      <c r="H65" s="226"/>
      <c r="I65" s="208"/>
      <c r="J65" s="229"/>
      <c r="K65" s="208">
        <f ca="1">IF(NOT(ISERROR(MATCH(J65,_xlfn.ANCHORARRAY(E74),0))),I76&amp;"Por favor no seleccionar los criterios de impacto",J65)</f>
        <v>0</v>
      </c>
      <c r="L65" s="226"/>
      <c r="M65" s="208"/>
      <c r="N65" s="211"/>
      <c r="O65" s="139">
        <v>2</v>
      </c>
      <c r="P65" s="124"/>
      <c r="Q65" s="125" t="str">
        <f>IF(OR(R65="Preventivo",R65="Detectivo"),"Probabilidad",IF(R65="Correctivo","Impacto",""))</f>
        <v/>
      </c>
      <c r="R65" s="126"/>
      <c r="S65" s="126"/>
      <c r="T65" s="127" t="str">
        <f t="shared" ref="T65:T69" si="69">IF(AND(R65="Preventivo",S65="Automático"),"50%",IF(AND(R65="Preventivo",S65="Manual"),"40%",IF(AND(R65="Detectivo",S65="Automático"),"40%",IF(AND(R65="Detectivo",S65="Manual"),"30%",IF(AND(R65="Correctivo",S65="Automático"),"35%",IF(AND(R65="Correctivo",S65="Manual"),"25%",""))))))</f>
        <v/>
      </c>
      <c r="U65" s="126"/>
      <c r="V65" s="126"/>
      <c r="W65" s="126"/>
      <c r="X65" s="128" t="str">
        <f>IFERROR(IF(AND(Q64="Probabilidad",Q65="Probabilidad"),(Z64-(+Z64*T65)),IF(Q65="Probabilidad",(I64-(+I64*T65)),IF(Q65="Impacto",Z64,""))),"")</f>
        <v/>
      </c>
      <c r="Y65" s="129" t="str">
        <f t="shared" si="1"/>
        <v/>
      </c>
      <c r="Z65" s="130" t="str">
        <f t="shared" ref="Z65:Z69" si="70">+X65</f>
        <v/>
      </c>
      <c r="AA65" s="129" t="str">
        <f t="shared" si="3"/>
        <v/>
      </c>
      <c r="AB65" s="138" t="str">
        <f>IFERROR(IF(AND(Q64="Impacto",Q65="Impacto"),(AB64-(+AB64*T65)),IF(Q65="Impacto",(M64-(+M64*T65)),IF(Q65="Probabilidad",AB64,""))),"")</f>
        <v/>
      </c>
      <c r="AC65" s="131"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2"/>
      <c r="AE65" s="133"/>
      <c r="AF65" s="134"/>
      <c r="AG65" s="135"/>
      <c r="AH65" s="135"/>
      <c r="AI65" s="133"/>
      <c r="AJ65" s="134"/>
    </row>
    <row r="66" spans="1:36" ht="13.5" hidden="1" customHeight="1" x14ac:dyDescent="0.3">
      <c r="A66" s="214"/>
      <c r="B66" s="217"/>
      <c r="C66" s="217"/>
      <c r="D66" s="217"/>
      <c r="E66" s="220"/>
      <c r="F66" s="217"/>
      <c r="G66" s="223"/>
      <c r="H66" s="226"/>
      <c r="I66" s="208"/>
      <c r="J66" s="229"/>
      <c r="K66" s="208">
        <f ca="1">IF(NOT(ISERROR(MATCH(J66,_xlfn.ANCHORARRAY(E75),0))),I77&amp;"Por favor no seleccionar los criterios de impacto",J66)</f>
        <v>0</v>
      </c>
      <c r="L66" s="226"/>
      <c r="M66" s="208"/>
      <c r="N66" s="211"/>
      <c r="O66" s="139">
        <v>3</v>
      </c>
      <c r="P66" s="136"/>
      <c r="Q66" s="125" t="str">
        <f>IF(OR(R66="Preventivo",R66="Detectivo"),"Probabilidad",IF(R66="Correctivo","Impacto",""))</f>
        <v/>
      </c>
      <c r="R66" s="126"/>
      <c r="S66" s="126"/>
      <c r="T66" s="127" t="str">
        <f t="shared" si="69"/>
        <v/>
      </c>
      <c r="U66" s="126"/>
      <c r="V66" s="126"/>
      <c r="W66" s="126"/>
      <c r="X66" s="128" t="str">
        <f>IFERROR(IF(AND(Q65="Probabilidad",Q66="Probabilidad"),(Z65-(+Z65*T66)),IF(AND(Q65="Impacto",Q66="Probabilidad"),(Z64-(+Z64*T66)),IF(Q66="Impacto",Z65,""))),"")</f>
        <v/>
      </c>
      <c r="Y66" s="129" t="str">
        <f t="shared" si="1"/>
        <v/>
      </c>
      <c r="Z66" s="130" t="str">
        <f t="shared" si="70"/>
        <v/>
      </c>
      <c r="AA66" s="129" t="str">
        <f t="shared" si="3"/>
        <v/>
      </c>
      <c r="AB66" s="138" t="str">
        <f>IFERROR(IF(AND(Q65="Impacto",Q66="Impacto"),(AB65-(+AB65*T66)),IF(AND(Q65="Probabilidad",Q66="Impacto"),(AB64-(+AB64*T66)),IF(Q66="Probabilidad",AB65,""))),"")</f>
        <v/>
      </c>
      <c r="AC66" s="131" t="str">
        <f t="shared" si="71"/>
        <v/>
      </c>
      <c r="AD66" s="132"/>
      <c r="AE66" s="133"/>
      <c r="AF66" s="134"/>
      <c r="AG66" s="135"/>
      <c r="AH66" s="135"/>
      <c r="AI66" s="133"/>
      <c r="AJ66" s="134"/>
    </row>
    <row r="67" spans="1:36" ht="151.5" hidden="1" customHeight="1" x14ac:dyDescent="0.3">
      <c r="A67" s="214"/>
      <c r="B67" s="217"/>
      <c r="C67" s="217"/>
      <c r="D67" s="217"/>
      <c r="E67" s="220"/>
      <c r="F67" s="217"/>
      <c r="G67" s="223"/>
      <c r="H67" s="226"/>
      <c r="I67" s="208"/>
      <c r="J67" s="229"/>
      <c r="K67" s="208">
        <f ca="1">IF(NOT(ISERROR(MATCH(J67,_xlfn.ANCHORARRAY(E76),0))),I78&amp;"Por favor no seleccionar los criterios de impacto",J67)</f>
        <v>0</v>
      </c>
      <c r="L67" s="226"/>
      <c r="M67" s="208"/>
      <c r="N67" s="211"/>
      <c r="O67" s="139">
        <v>4</v>
      </c>
      <c r="P67" s="124"/>
      <c r="Q67" s="125" t="str">
        <f t="shared" ref="Q67:Q69" si="72">IF(OR(R67="Preventivo",R67="Detectivo"),"Probabilidad",IF(R67="Correctivo","Impacto",""))</f>
        <v/>
      </c>
      <c r="R67" s="126"/>
      <c r="S67" s="126"/>
      <c r="T67" s="127" t="str">
        <f t="shared" si="69"/>
        <v/>
      </c>
      <c r="U67" s="126"/>
      <c r="V67" s="126"/>
      <c r="W67" s="126"/>
      <c r="X67" s="128" t="str">
        <f t="shared" ref="X67:X69" si="73">IFERROR(IF(AND(Q66="Probabilidad",Q67="Probabilidad"),(Z66-(+Z66*T67)),IF(AND(Q66="Impacto",Q67="Probabilidad"),(Z65-(+Z65*T67)),IF(Q67="Impacto",Z66,""))),"")</f>
        <v/>
      </c>
      <c r="Y67" s="129" t="str">
        <f t="shared" si="1"/>
        <v/>
      </c>
      <c r="Z67" s="130" t="str">
        <f t="shared" si="70"/>
        <v/>
      </c>
      <c r="AA67" s="129" t="str">
        <f t="shared" si="3"/>
        <v/>
      </c>
      <c r="AB67" s="138" t="str">
        <f t="shared" ref="AB67:AB69" si="74">IFERROR(IF(AND(Q66="Impacto",Q67="Impacto"),(AB66-(+AB66*T67)),IF(AND(Q66="Probabilidad",Q67="Impacto"),(AB65-(+AB65*T67)),IF(Q67="Probabilidad",AB66,""))),"")</f>
        <v/>
      </c>
      <c r="AC67" s="131"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2"/>
      <c r="AE67" s="133"/>
      <c r="AF67" s="134"/>
      <c r="AG67" s="135"/>
      <c r="AH67" s="135"/>
      <c r="AI67" s="133"/>
      <c r="AJ67" s="134"/>
    </row>
    <row r="68" spans="1:36" ht="151.5" hidden="1" customHeight="1" x14ac:dyDescent="0.3">
      <c r="A68" s="214"/>
      <c r="B68" s="217"/>
      <c r="C68" s="217"/>
      <c r="D68" s="217"/>
      <c r="E68" s="220"/>
      <c r="F68" s="217"/>
      <c r="G68" s="223"/>
      <c r="H68" s="226"/>
      <c r="I68" s="208"/>
      <c r="J68" s="229"/>
      <c r="K68" s="208">
        <f ca="1">IF(NOT(ISERROR(MATCH(J68,_xlfn.ANCHORARRAY(E77),0))),I79&amp;"Por favor no seleccionar los criterios de impacto",J68)</f>
        <v>0</v>
      </c>
      <c r="L68" s="226"/>
      <c r="M68" s="208"/>
      <c r="N68" s="211"/>
      <c r="O68" s="139">
        <v>5</v>
      </c>
      <c r="P68" s="124"/>
      <c r="Q68" s="125" t="str">
        <f t="shared" si="72"/>
        <v/>
      </c>
      <c r="R68" s="126"/>
      <c r="S68" s="126"/>
      <c r="T68" s="127" t="str">
        <f t="shared" si="69"/>
        <v/>
      </c>
      <c r="U68" s="126"/>
      <c r="V68" s="126"/>
      <c r="W68" s="126"/>
      <c r="X68" s="128" t="str">
        <f t="shared" si="73"/>
        <v/>
      </c>
      <c r="Y68" s="129" t="str">
        <f t="shared" si="1"/>
        <v/>
      </c>
      <c r="Z68" s="130" t="str">
        <f t="shared" si="70"/>
        <v/>
      </c>
      <c r="AA68" s="129" t="str">
        <f t="shared" si="3"/>
        <v/>
      </c>
      <c r="AB68" s="138" t="str">
        <f t="shared" si="74"/>
        <v/>
      </c>
      <c r="AC68" s="131"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2"/>
      <c r="AE68" s="133"/>
      <c r="AF68" s="134"/>
      <c r="AG68" s="135"/>
      <c r="AH68" s="135"/>
      <c r="AI68" s="133"/>
      <c r="AJ68" s="134"/>
    </row>
    <row r="69" spans="1:36" ht="151.5" hidden="1" customHeight="1" x14ac:dyDescent="0.3">
      <c r="A69" s="215"/>
      <c r="B69" s="218"/>
      <c r="C69" s="218"/>
      <c r="D69" s="218"/>
      <c r="E69" s="221"/>
      <c r="F69" s="218"/>
      <c r="G69" s="224"/>
      <c r="H69" s="227"/>
      <c r="I69" s="209"/>
      <c r="J69" s="230"/>
      <c r="K69" s="209">
        <f ca="1">IF(NOT(ISERROR(MATCH(J69,_xlfn.ANCHORARRAY(E78),0))),I80&amp;"Por favor no seleccionar los criterios de impacto",J69)</f>
        <v>0</v>
      </c>
      <c r="L69" s="227"/>
      <c r="M69" s="209"/>
      <c r="N69" s="212"/>
      <c r="O69" s="139">
        <v>6</v>
      </c>
      <c r="P69" s="124"/>
      <c r="Q69" s="125" t="str">
        <f t="shared" si="72"/>
        <v/>
      </c>
      <c r="R69" s="126"/>
      <c r="S69" s="126"/>
      <c r="T69" s="127" t="str">
        <f t="shared" si="69"/>
        <v/>
      </c>
      <c r="U69" s="126"/>
      <c r="V69" s="126"/>
      <c r="W69" s="126"/>
      <c r="X69" s="128" t="str">
        <f t="shared" si="73"/>
        <v/>
      </c>
      <c r="Y69" s="129" t="str">
        <f t="shared" si="1"/>
        <v/>
      </c>
      <c r="Z69" s="130" t="str">
        <f t="shared" si="70"/>
        <v/>
      </c>
      <c r="AA69" s="129" t="str">
        <f t="shared" si="3"/>
        <v/>
      </c>
      <c r="AB69" s="138" t="str">
        <f t="shared" si="74"/>
        <v/>
      </c>
      <c r="AC69" s="131" t="str">
        <f t="shared" si="75"/>
        <v/>
      </c>
      <c r="AD69" s="132"/>
      <c r="AE69" s="133"/>
      <c r="AF69" s="134"/>
      <c r="AG69" s="135"/>
      <c r="AH69" s="135"/>
      <c r="AI69" s="133"/>
      <c r="AJ69" s="134"/>
    </row>
    <row r="70" spans="1:36" ht="49.5" customHeight="1" x14ac:dyDescent="0.3">
      <c r="A70" s="6"/>
      <c r="B70" s="204" t="s">
        <v>131</v>
      </c>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6"/>
    </row>
    <row r="71" spans="1:36" x14ac:dyDescent="0.3">
      <c r="A71" s="195" t="s">
        <v>224</v>
      </c>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7"/>
    </row>
    <row r="72" spans="1:36" x14ac:dyDescent="0.3">
      <c r="A72" s="198"/>
      <c r="B72" s="199"/>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200"/>
    </row>
    <row r="73" spans="1:36" x14ac:dyDescent="0.3">
      <c r="A73" s="27"/>
      <c r="B73" s="28"/>
      <c r="C73" s="27"/>
      <c r="D73" s="27"/>
      <c r="E73" s="8"/>
      <c r="F73" s="26"/>
      <c r="G73" s="8"/>
      <c r="H73" s="8"/>
      <c r="I73" s="8"/>
      <c r="J73" s="8"/>
      <c r="K73" s="8"/>
      <c r="L73" s="8"/>
      <c r="M73" s="8"/>
      <c r="N73" s="8"/>
      <c r="O73" s="25"/>
      <c r="P73" s="8"/>
      <c r="Q73" s="8"/>
      <c r="R73" s="8"/>
      <c r="S73" s="8"/>
      <c r="T73" s="8"/>
      <c r="U73" s="8"/>
      <c r="V73" s="8"/>
      <c r="W73" s="8"/>
      <c r="X73" s="8"/>
      <c r="Y73" s="8"/>
      <c r="Z73" s="8"/>
      <c r="AA73" s="8"/>
      <c r="AB73" s="8"/>
      <c r="AC73" s="8"/>
      <c r="AD73" s="8"/>
      <c r="AE73" s="8"/>
      <c r="AF73" s="8"/>
      <c r="AG73" s="8"/>
      <c r="AH73" s="8"/>
      <c r="AI73" s="8"/>
      <c r="AJ73" s="8"/>
    </row>
    <row r="74" spans="1:36" ht="37.5" customHeight="1" x14ac:dyDescent="0.3">
      <c r="A74" s="256" t="s">
        <v>43</v>
      </c>
      <c r="B74" s="257"/>
      <c r="C74" s="191" t="s">
        <v>225</v>
      </c>
      <c r="D74" s="192"/>
      <c r="E74" s="192"/>
      <c r="F74" s="192"/>
      <c r="G74" s="192"/>
      <c r="H74" s="192"/>
      <c r="I74" s="192"/>
      <c r="J74" s="192"/>
      <c r="K74" s="192"/>
      <c r="L74" s="192"/>
      <c r="M74" s="192"/>
      <c r="N74" s="193"/>
      <c r="O74" s="194"/>
      <c r="P74" s="194"/>
      <c r="Q74" s="194"/>
      <c r="R74" s="8"/>
      <c r="S74" s="8"/>
      <c r="T74" s="8"/>
      <c r="U74" s="8"/>
      <c r="V74" s="8"/>
      <c r="W74" s="8"/>
      <c r="X74" s="8"/>
      <c r="Y74" s="8"/>
      <c r="Z74" s="8"/>
      <c r="AA74" s="8"/>
      <c r="AB74" s="8"/>
      <c r="AC74" s="8"/>
      <c r="AD74" s="8"/>
      <c r="AE74" s="8"/>
      <c r="AF74" s="8"/>
      <c r="AG74" s="8"/>
      <c r="AH74" s="8"/>
      <c r="AI74" s="8"/>
      <c r="AJ74" s="8"/>
    </row>
    <row r="75" spans="1:36" ht="30.75" customHeight="1" x14ac:dyDescent="0.3">
      <c r="A75" s="256" t="s">
        <v>130</v>
      </c>
      <c r="B75" s="257"/>
      <c r="C75" s="266" t="s">
        <v>226</v>
      </c>
      <c r="D75" s="192"/>
      <c r="E75" s="192"/>
      <c r="F75" s="192"/>
      <c r="G75" s="192"/>
      <c r="H75" s="192"/>
      <c r="I75" s="192"/>
      <c r="J75" s="192"/>
      <c r="K75" s="192"/>
      <c r="L75" s="192"/>
      <c r="M75" s="192"/>
      <c r="N75" s="193"/>
      <c r="O75" s="25"/>
      <c r="P75" s="8"/>
      <c r="Q75" s="8"/>
      <c r="R75" s="8"/>
      <c r="S75" s="8"/>
      <c r="T75" s="8"/>
      <c r="U75" s="8"/>
      <c r="V75" s="8"/>
      <c r="W75" s="8"/>
      <c r="X75" s="8"/>
      <c r="Y75" s="8"/>
      <c r="Z75" s="8"/>
      <c r="AA75" s="8"/>
      <c r="AB75" s="8"/>
      <c r="AC75" s="8"/>
      <c r="AD75" s="8"/>
      <c r="AE75" s="8"/>
      <c r="AF75" s="8"/>
      <c r="AG75" s="8"/>
      <c r="AH75" s="8"/>
      <c r="AI75" s="8"/>
      <c r="AJ75" s="8"/>
    </row>
    <row r="76" spans="1:36" ht="26.25" customHeight="1" x14ac:dyDescent="0.3">
      <c r="A76" s="256" t="s">
        <v>44</v>
      </c>
      <c r="B76" s="257"/>
      <c r="C76" s="266" t="s">
        <v>227</v>
      </c>
      <c r="D76" s="267"/>
      <c r="E76" s="267"/>
      <c r="F76" s="267"/>
      <c r="G76" s="267"/>
      <c r="H76" s="267"/>
      <c r="I76" s="267"/>
      <c r="J76" s="267"/>
      <c r="K76" s="267"/>
      <c r="L76" s="267"/>
      <c r="M76" s="267"/>
      <c r="N76" s="268"/>
      <c r="O76" s="25"/>
      <c r="P76" s="8"/>
      <c r="Q76" s="8"/>
      <c r="R76" s="8"/>
      <c r="S76" s="8"/>
      <c r="T76" s="8"/>
      <c r="U76" s="8"/>
      <c r="V76" s="8"/>
      <c r="W76" s="8"/>
      <c r="X76" s="8"/>
      <c r="Y76" s="8"/>
      <c r="Z76" s="8"/>
      <c r="AA76" s="8"/>
      <c r="AB76" s="8"/>
      <c r="AC76" s="8"/>
      <c r="AD76" s="8"/>
      <c r="AE76" s="8"/>
      <c r="AF76" s="8"/>
      <c r="AG76" s="8"/>
      <c r="AH76" s="8"/>
      <c r="AI76" s="8"/>
      <c r="AJ76" s="8"/>
    </row>
    <row r="77" spans="1:36" ht="23.25" customHeight="1" x14ac:dyDescent="0.3">
      <c r="A77" s="201" t="s">
        <v>139</v>
      </c>
      <c r="B77" s="202"/>
      <c r="C77" s="202"/>
      <c r="D77" s="202"/>
      <c r="E77" s="202"/>
      <c r="F77" s="202"/>
      <c r="G77" s="203"/>
      <c r="H77" s="201" t="s">
        <v>140</v>
      </c>
      <c r="I77" s="202"/>
      <c r="J77" s="202"/>
      <c r="K77" s="202"/>
      <c r="L77" s="202"/>
      <c r="M77" s="202"/>
      <c r="N77" s="203"/>
      <c r="O77" s="201" t="s">
        <v>141</v>
      </c>
      <c r="P77" s="202"/>
      <c r="Q77" s="202"/>
      <c r="R77" s="202"/>
      <c r="S77" s="202"/>
      <c r="T77" s="202"/>
      <c r="U77" s="202"/>
      <c r="V77" s="202"/>
      <c r="W77" s="203"/>
      <c r="X77" s="201" t="s">
        <v>142</v>
      </c>
      <c r="Y77" s="202"/>
      <c r="Z77" s="202"/>
      <c r="AA77" s="202"/>
      <c r="AB77" s="202"/>
      <c r="AC77" s="202"/>
      <c r="AD77" s="203"/>
      <c r="AE77" s="201" t="s">
        <v>34</v>
      </c>
      <c r="AF77" s="202"/>
      <c r="AG77" s="202"/>
      <c r="AH77" s="202"/>
      <c r="AI77" s="202"/>
      <c r="AJ77" s="203"/>
    </row>
    <row r="78" spans="1:36" x14ac:dyDescent="0.3">
      <c r="A78" s="258" t="s">
        <v>0</v>
      </c>
      <c r="B78" s="263" t="s">
        <v>2</v>
      </c>
      <c r="C78" s="261" t="s">
        <v>3</v>
      </c>
      <c r="D78" s="261" t="s">
        <v>42</v>
      </c>
      <c r="E78" s="262" t="s">
        <v>1</v>
      </c>
      <c r="F78" s="260" t="s">
        <v>50</v>
      </c>
      <c r="G78" s="261" t="s">
        <v>135</v>
      </c>
      <c r="H78" s="270" t="s">
        <v>33</v>
      </c>
      <c r="I78" s="271" t="s">
        <v>5</v>
      </c>
      <c r="J78" s="260" t="s">
        <v>87</v>
      </c>
      <c r="K78" s="260" t="s">
        <v>92</v>
      </c>
      <c r="L78" s="273" t="s">
        <v>45</v>
      </c>
      <c r="M78" s="271" t="s">
        <v>5</v>
      </c>
      <c r="N78" s="261" t="s">
        <v>48</v>
      </c>
      <c r="O78" s="264" t="s">
        <v>11</v>
      </c>
      <c r="P78" s="255" t="s">
        <v>161</v>
      </c>
      <c r="Q78" s="260" t="s">
        <v>12</v>
      </c>
      <c r="R78" s="255" t="s">
        <v>8</v>
      </c>
      <c r="S78" s="255"/>
      <c r="T78" s="255"/>
      <c r="U78" s="255"/>
      <c r="V78" s="255"/>
      <c r="W78" s="255"/>
      <c r="X78" s="269" t="s">
        <v>138</v>
      </c>
      <c r="Y78" s="269" t="s">
        <v>46</v>
      </c>
      <c r="Z78" s="269" t="s">
        <v>5</v>
      </c>
      <c r="AA78" s="269" t="s">
        <v>47</v>
      </c>
      <c r="AB78" s="269" t="s">
        <v>5</v>
      </c>
      <c r="AC78" s="269" t="s">
        <v>49</v>
      </c>
      <c r="AD78" s="264" t="s">
        <v>29</v>
      </c>
      <c r="AE78" s="255" t="s">
        <v>34</v>
      </c>
      <c r="AF78" s="255" t="s">
        <v>35</v>
      </c>
      <c r="AG78" s="255" t="s">
        <v>36</v>
      </c>
      <c r="AH78" s="255" t="s">
        <v>38</v>
      </c>
      <c r="AI78" s="255" t="s">
        <v>37</v>
      </c>
      <c r="AJ78" s="255" t="s">
        <v>39</v>
      </c>
    </row>
    <row r="79" spans="1:36" ht="78.75" x14ac:dyDescent="0.3">
      <c r="A79" s="259"/>
      <c r="B79" s="263"/>
      <c r="C79" s="255"/>
      <c r="D79" s="255"/>
      <c r="E79" s="263"/>
      <c r="F79" s="261"/>
      <c r="G79" s="255"/>
      <c r="H79" s="261"/>
      <c r="I79" s="272"/>
      <c r="J79" s="261"/>
      <c r="K79" s="261"/>
      <c r="L79" s="272"/>
      <c r="M79" s="272"/>
      <c r="N79" s="255"/>
      <c r="O79" s="265"/>
      <c r="P79" s="255"/>
      <c r="Q79" s="261"/>
      <c r="R79" s="7" t="s">
        <v>13</v>
      </c>
      <c r="S79" s="7" t="s">
        <v>17</v>
      </c>
      <c r="T79" s="7" t="s">
        <v>28</v>
      </c>
      <c r="U79" s="7" t="s">
        <v>18</v>
      </c>
      <c r="V79" s="7" t="s">
        <v>21</v>
      </c>
      <c r="W79" s="7" t="s">
        <v>24</v>
      </c>
      <c r="X79" s="269"/>
      <c r="Y79" s="269"/>
      <c r="Z79" s="269"/>
      <c r="AA79" s="269"/>
      <c r="AB79" s="269"/>
      <c r="AC79" s="269"/>
      <c r="AD79" s="265"/>
      <c r="AE79" s="255"/>
      <c r="AF79" s="255"/>
      <c r="AG79" s="255"/>
      <c r="AH79" s="255"/>
      <c r="AI79" s="255"/>
      <c r="AJ79" s="255"/>
    </row>
    <row r="80" spans="1:36" ht="16.5" customHeight="1" x14ac:dyDescent="0.3">
      <c r="A80" s="249">
        <v>1</v>
      </c>
      <c r="B80" s="240" t="s">
        <v>134</v>
      </c>
      <c r="C80" s="240" t="s">
        <v>273</v>
      </c>
      <c r="D80" s="240" t="s">
        <v>280</v>
      </c>
      <c r="E80" s="240" t="s">
        <v>281</v>
      </c>
      <c r="F80" s="240" t="s">
        <v>123</v>
      </c>
      <c r="G80" s="335">
        <v>2</v>
      </c>
      <c r="H80" s="231" t="str">
        <f>IF(G80&lt;=0,"",IF(G80&lt;=2,"Muy Baja",IF(G80&lt;=24,"Baja",IF(G80&lt;=500,"Media",IF(G80&lt;=5000,"Alta","Muy Alta")))))</f>
        <v>Muy Baja</v>
      </c>
      <c r="I80" s="234">
        <f>IF(H80="","",IF(H80="Muy Baja",0.2,IF(H80="Baja",0.4,IF(H80="Media",0.6,IF(H80="Alta",0.8,IF(H80="Muy Alta",1,))))))</f>
        <v>0.2</v>
      </c>
      <c r="J80" s="338" t="s">
        <v>144</v>
      </c>
      <c r="K80" s="207" t="str">
        <f>IF(NOT(ISERROR(MATCH(J80,#REF!,0))),#REF!&amp;"Por favor no seleccionar los criterios de impacto(Afectación Económica o presupuestal y Pérdida Reputacional)",J80)</f>
        <v xml:space="preserve">     Afectación menor a 10 SMLMV .</v>
      </c>
      <c r="L80" s="231" t="str">
        <f>IF(OR(K80='Tabla Impacto'!$C$11,K80='Tabla Impacto'!$D$11),"Leve",IF(OR(K80='Tabla Impacto'!$C$12,K80='Tabla Impacto'!$D$12),"Menor",IF(OR(K80='Tabla Impacto'!$C$13,K80='Tabla Impacto'!$D$13),"Moderado",IF(OR(K80='Tabla Impacto'!$C$14,K80='Tabla Impacto'!$D$14),"Mayor",IF(OR(K80='Tabla Impacto'!$C$15,K80='Tabla Impacto'!$D$15),"Catastrófico","")))))</f>
        <v>Leve</v>
      </c>
      <c r="M80" s="234">
        <f>IF(L80="","",IF(L80="Leve",0.2,IF(L80="Menor",0.4,IF(L80="Moderado",0.6,IF(L80="Mayor",0.8,IF(L80="Catastrófico",1,))))))</f>
        <v>0.2</v>
      </c>
      <c r="N80" s="237" t="str">
        <f>IF(OR(AND(H80="Muy Baja",L80="Leve"),AND(H80="Muy Baja",L80="Menor"),AND(H80="Baja",L80="Leve")),"Bajo",IF(OR(AND(H80="Muy baja",L80="Moderado"),AND(H80="Baja",L80="Menor"),AND(H80="Baja",L80="Moderado"),AND(H80="Media",L80="Leve"),AND(H80="Media",L80="Menor"),AND(H80="Media",L80="Moderado"),AND(H80="Alta",L80="Leve"),AND(H80="Alta",L80="Menor")),"Moderado",IF(OR(AND(H80="Muy Baja",L80="Mayor"),AND(H80="Baja",L80="Mayor"),AND(H80="Media",L80="Mayor"),AND(H80="Alta",L80="Moderado"),AND(H80="Alta",L80="Mayor"),AND(H80="Muy Alta",L80="Leve"),AND(H80="Muy Alta",L80="Menor"),AND(H80="Muy Alta",L80="Moderado"),AND(H80="Muy Alta",L80="Mayor")),"Alto",IF(OR(AND(H80="Muy Baja",L80="Catastrófico"),AND(H80="Baja",L80="Catastrófico"),AND(H80="Media",L80="Catastrófico"),AND(H80="Alta",L80="Catastrófico"),AND(H80="Muy Alta",L80="Catastrófico")),"Extremo",""))))</f>
        <v>Bajo</v>
      </c>
      <c r="O80" s="249">
        <v>1</v>
      </c>
      <c r="P80" s="350" t="s">
        <v>228</v>
      </c>
      <c r="Q80" s="333" t="str">
        <f>IF(OR(R80="Preventivo",R80="Detectivo"),"Probabilidad",IF(R80="Correctivo","Impacto",""))</f>
        <v>Probabilidad</v>
      </c>
      <c r="R80" s="311" t="s">
        <v>14</v>
      </c>
      <c r="S80" s="311" t="s">
        <v>9</v>
      </c>
      <c r="T80" s="315" t="str">
        <f>IF(AND(R80="Preventivo",S80="Automático"),"50%",IF(AND(R80="Preventivo",S80="Manual"),"40%",IF(AND(R80="Detectivo",S80="Automático"),"40%",IF(AND(R80="Detectivo",S80="Manual"),"30%",IF(AND(R80="Correctivo",S80="Automático"),"35%",IF(AND(R80="Correctivo",S80="Manual"),"25%",""))))))</f>
        <v>40%</v>
      </c>
      <c r="U80" s="311" t="s">
        <v>19</v>
      </c>
      <c r="V80" s="311" t="s">
        <v>22</v>
      </c>
      <c r="W80" s="311" t="s">
        <v>119</v>
      </c>
      <c r="X80" s="140">
        <f>IFERROR(IF(Q80="Probabilidad",(I80-(+I80*T80)),IF(Q80="Impacto",I80,"")),"")</f>
        <v>0.12</v>
      </c>
      <c r="Y80" s="313" t="str">
        <f>IFERROR(IF(X80="","",IF(X80&lt;=0.2,"Muy Baja",IF(X80&lt;=0.4,"Baja",IF(X80&lt;=0.6,"Media",IF(X80&lt;=0.8,"Alta","Muy Alta"))))),"")</f>
        <v>Muy Baja</v>
      </c>
      <c r="Z80" s="315">
        <f>+X80</f>
        <v>0.12</v>
      </c>
      <c r="AA80" s="313" t="str">
        <f>IFERROR(IF(AB80="","",IF(AB80&lt;=0.2,"Leve",IF(AB80&lt;=0.4,"Menor",IF(AB80&lt;=0.6,"Moderado",IF(AB80&lt;=0.8,"Mayor","Catastrófico"))))),"")</f>
        <v>Leve</v>
      </c>
      <c r="AB80" s="315">
        <f>IFERROR(IF(Q80="Impacto",(M80-(+M80*T80)),IF(Q80="Probabilidad",M80,"")),"")</f>
        <v>0.2</v>
      </c>
      <c r="AC80" s="319" t="str">
        <f>IFERROR(IF(OR(AND(Y80="Muy Baja",AA80="Leve"),AND(Y80="Muy Baja",AA80="Menor"),AND(Y80="Baja",AA80="Leve")),"Bajo",IF(OR(AND(Y80="Muy baja",AA80="Moderado"),AND(Y80="Baja",AA80="Menor"),AND(Y80="Baja",AA80="Moderado"),AND(Y80="Media",AA80="Leve"),AND(Y80="Media",AA80="Menor"),AND(Y80="Media",AA80="Moderado"),AND(Y80="Alta",AA80="Leve"),AND(Y80="Alta",AA80="Menor")),"Moderado",IF(OR(AND(Y80="Muy Baja",AA80="Mayor"),AND(Y80="Baja",AA80="Mayor"),AND(Y80="Media",AA80="Mayor"),AND(Y80="Alta",AA80="Moderado"),AND(Y80="Alta",AA80="Mayor"),AND(Y80="Muy Alta",AA80="Leve"),AND(Y80="Muy Alta",AA80="Menor"),AND(Y80="Muy Alta",AA80="Moderado"),AND(Y80="Muy Alta",AA80="Mayor")),"Alto",IF(OR(AND(Y80="Muy Baja",AA80="Catastrófico"),AND(Y80="Baja",AA80="Catastrófico"),AND(Y80="Media",AA80="Catastrófico"),AND(Y80="Alta",AA80="Catastrófico"),AND(Y80="Muy Alta",AA80="Catastrófico")),"Extremo","")))),"")</f>
        <v>Bajo</v>
      </c>
      <c r="AD80" s="311" t="s">
        <v>32</v>
      </c>
      <c r="AE80" s="240"/>
      <c r="AF80" s="335"/>
      <c r="AG80" s="343"/>
      <c r="AH80" s="343"/>
      <c r="AI80" s="240"/>
      <c r="AJ80" s="335"/>
    </row>
    <row r="81" spans="1:36" x14ac:dyDescent="0.3">
      <c r="A81" s="250"/>
      <c r="B81" s="241"/>
      <c r="C81" s="241"/>
      <c r="D81" s="241"/>
      <c r="E81" s="241"/>
      <c r="F81" s="241"/>
      <c r="G81" s="336"/>
      <c r="H81" s="232"/>
      <c r="I81" s="235"/>
      <c r="J81" s="339"/>
      <c r="K81" s="208">
        <f ca="1">IF(NOT(ISERROR(MATCH(J81,_xlfn.ANCHORARRAY(E92),0))),I94&amp;"Por favor no seleccionar los criterios de impacto",J81)</f>
        <v>0</v>
      </c>
      <c r="L81" s="232"/>
      <c r="M81" s="235"/>
      <c r="N81" s="238"/>
      <c r="O81" s="250"/>
      <c r="P81" s="351"/>
      <c r="Q81" s="353"/>
      <c r="R81" s="347"/>
      <c r="S81" s="347"/>
      <c r="T81" s="345"/>
      <c r="U81" s="347"/>
      <c r="V81" s="347"/>
      <c r="W81" s="347"/>
      <c r="X81" s="128" t="str">
        <f>IFERROR(IF(AND(Q80="Probabilidad",Q81="Probabilidad"),(Z80-(+Z80*T81)),IF(Q81="Probabilidad",(I80-(+I80*T81)),IF(Q81="Impacto",Z80,""))),"")</f>
        <v/>
      </c>
      <c r="Y81" s="349"/>
      <c r="Z81" s="345"/>
      <c r="AA81" s="349"/>
      <c r="AB81" s="345"/>
      <c r="AC81" s="346"/>
      <c r="AD81" s="347"/>
      <c r="AE81" s="241"/>
      <c r="AF81" s="336"/>
      <c r="AG81" s="348"/>
      <c r="AH81" s="348"/>
      <c r="AI81" s="241"/>
      <c r="AJ81" s="336"/>
    </row>
    <row r="82" spans="1:36" x14ac:dyDescent="0.3">
      <c r="A82" s="250"/>
      <c r="B82" s="241"/>
      <c r="C82" s="241"/>
      <c r="D82" s="241"/>
      <c r="E82" s="241"/>
      <c r="F82" s="241"/>
      <c r="G82" s="336"/>
      <c r="H82" s="232"/>
      <c r="I82" s="235"/>
      <c r="J82" s="339"/>
      <c r="K82" s="208">
        <f ca="1">IF(NOT(ISERROR(MATCH(J82,_xlfn.ANCHORARRAY(E93),0))),I95&amp;"Por favor no seleccionar los criterios de impacto",J82)</f>
        <v>0</v>
      </c>
      <c r="L82" s="232"/>
      <c r="M82" s="235"/>
      <c r="N82" s="238"/>
      <c r="O82" s="250"/>
      <c r="P82" s="351"/>
      <c r="Q82" s="353"/>
      <c r="R82" s="347"/>
      <c r="S82" s="347"/>
      <c r="T82" s="345"/>
      <c r="U82" s="347"/>
      <c r="V82" s="347"/>
      <c r="W82" s="347"/>
      <c r="X82" s="128" t="str">
        <f>IFERROR(IF(AND(Q81="Probabilidad",Q82="Probabilidad"),(Z81-(+Z81*T82)),IF(AND(Q81="Impacto",Q82="Probabilidad"),(Z80-(+Z80*T82)),IF(Q82="Impacto",Z81,""))),"")</f>
        <v/>
      </c>
      <c r="Y82" s="349"/>
      <c r="Z82" s="345"/>
      <c r="AA82" s="349"/>
      <c r="AB82" s="345"/>
      <c r="AC82" s="346"/>
      <c r="AD82" s="347"/>
      <c r="AE82" s="241"/>
      <c r="AF82" s="336"/>
      <c r="AG82" s="348"/>
      <c r="AH82" s="348"/>
      <c r="AI82" s="241"/>
      <c r="AJ82" s="336"/>
    </row>
    <row r="83" spans="1:36" x14ac:dyDescent="0.3">
      <c r="A83" s="250"/>
      <c r="B83" s="241"/>
      <c r="C83" s="241"/>
      <c r="D83" s="241"/>
      <c r="E83" s="241"/>
      <c r="F83" s="241"/>
      <c r="G83" s="336"/>
      <c r="H83" s="232"/>
      <c r="I83" s="235"/>
      <c r="J83" s="339"/>
      <c r="K83" s="208">
        <f ca="1">IF(NOT(ISERROR(MATCH(J83,_xlfn.ANCHORARRAY(E94),0))),I96&amp;"Por favor no seleccionar los criterios de impacto",J83)</f>
        <v>0</v>
      </c>
      <c r="L83" s="232"/>
      <c r="M83" s="235"/>
      <c r="N83" s="238"/>
      <c r="O83" s="250"/>
      <c r="P83" s="351"/>
      <c r="Q83" s="353"/>
      <c r="R83" s="347"/>
      <c r="S83" s="347"/>
      <c r="T83" s="345"/>
      <c r="U83" s="347"/>
      <c r="V83" s="347"/>
      <c r="W83" s="347"/>
      <c r="X83" s="128" t="str">
        <f t="shared" ref="X83:X85" si="76">IFERROR(IF(AND(Q82="Probabilidad",Q83="Probabilidad"),(Z82-(+Z82*T83)),IF(AND(Q82="Impacto",Q83="Probabilidad"),(Z81-(+Z81*T83)),IF(Q83="Impacto",Z82,""))),"")</f>
        <v/>
      </c>
      <c r="Y83" s="349"/>
      <c r="Z83" s="345"/>
      <c r="AA83" s="349"/>
      <c r="AB83" s="345"/>
      <c r="AC83" s="346"/>
      <c r="AD83" s="347"/>
      <c r="AE83" s="241"/>
      <c r="AF83" s="336"/>
      <c r="AG83" s="348"/>
      <c r="AH83" s="348"/>
      <c r="AI83" s="241"/>
      <c r="AJ83" s="336"/>
    </row>
    <row r="84" spans="1:36" x14ac:dyDescent="0.3">
      <c r="A84" s="250"/>
      <c r="B84" s="241"/>
      <c r="C84" s="241"/>
      <c r="D84" s="241"/>
      <c r="E84" s="241"/>
      <c r="F84" s="241"/>
      <c r="G84" s="336"/>
      <c r="H84" s="232"/>
      <c r="I84" s="235"/>
      <c r="J84" s="339"/>
      <c r="K84" s="208">
        <f ca="1">IF(NOT(ISERROR(MATCH(J84,_xlfn.ANCHORARRAY(E95),0))),I97&amp;"Por favor no seleccionar los criterios de impacto",J84)</f>
        <v>0</v>
      </c>
      <c r="L84" s="232"/>
      <c r="M84" s="235"/>
      <c r="N84" s="238"/>
      <c r="O84" s="250"/>
      <c r="P84" s="351"/>
      <c r="Q84" s="353"/>
      <c r="R84" s="347"/>
      <c r="S84" s="347"/>
      <c r="T84" s="345"/>
      <c r="U84" s="347"/>
      <c r="V84" s="347"/>
      <c r="W84" s="347"/>
      <c r="X84" s="128" t="str">
        <f t="shared" si="76"/>
        <v/>
      </c>
      <c r="Y84" s="349"/>
      <c r="Z84" s="345"/>
      <c r="AA84" s="349"/>
      <c r="AB84" s="345"/>
      <c r="AC84" s="346"/>
      <c r="AD84" s="347"/>
      <c r="AE84" s="241"/>
      <c r="AF84" s="336"/>
      <c r="AG84" s="348"/>
      <c r="AH84" s="348"/>
      <c r="AI84" s="241"/>
      <c r="AJ84" s="336"/>
    </row>
    <row r="85" spans="1:36" ht="104.25" customHeight="1" x14ac:dyDescent="0.3">
      <c r="A85" s="251"/>
      <c r="B85" s="242"/>
      <c r="C85" s="242"/>
      <c r="D85" s="242"/>
      <c r="E85" s="242"/>
      <c r="F85" s="242"/>
      <c r="G85" s="337"/>
      <c r="H85" s="233"/>
      <c r="I85" s="236"/>
      <c r="J85" s="340"/>
      <c r="K85" s="209">
        <f ca="1">IF(NOT(ISERROR(MATCH(J85,_xlfn.ANCHORARRAY(E96),0))),I98&amp;"Por favor no seleccionar los criterios de impacto",J85)</f>
        <v>0</v>
      </c>
      <c r="L85" s="233"/>
      <c r="M85" s="236"/>
      <c r="N85" s="239"/>
      <c r="O85" s="251"/>
      <c r="P85" s="352"/>
      <c r="Q85" s="334"/>
      <c r="R85" s="312"/>
      <c r="S85" s="312"/>
      <c r="T85" s="316"/>
      <c r="U85" s="312"/>
      <c r="V85" s="312"/>
      <c r="W85" s="312"/>
      <c r="X85" s="128" t="str">
        <f t="shared" si="76"/>
        <v/>
      </c>
      <c r="Y85" s="314"/>
      <c r="Z85" s="316"/>
      <c r="AA85" s="314"/>
      <c r="AB85" s="316"/>
      <c r="AC85" s="320"/>
      <c r="AD85" s="312"/>
      <c r="AE85" s="242"/>
      <c r="AF85" s="337"/>
      <c r="AG85" s="344"/>
      <c r="AH85" s="344"/>
      <c r="AI85" s="242"/>
      <c r="AJ85" s="337"/>
    </row>
    <row r="86" spans="1:36" hidden="1" x14ac:dyDescent="0.3">
      <c r="A86" s="249">
        <v>2</v>
      </c>
      <c r="B86" s="240"/>
      <c r="C86" s="240"/>
      <c r="D86" s="240"/>
      <c r="E86" s="252"/>
      <c r="F86" s="240"/>
      <c r="G86" s="335"/>
      <c r="H86" s="231" t="str">
        <f>IF(G86&lt;=0,"",IF(G86&lt;=2,"Muy Baja",IF(G86&lt;=24,"Baja",IF(G86&lt;=500,"Media",IF(G86&lt;=5000,"Alta","Muy Alta")))))</f>
        <v/>
      </c>
      <c r="I86" s="234" t="str">
        <f>IF(H86="","",IF(H86="Muy Baja",0.2,IF(H86="Baja",0.4,IF(H86="Media",0.6,IF(H86="Alta",0.8,IF(H86="Muy Alta",1,))))))</f>
        <v/>
      </c>
      <c r="J86" s="338"/>
      <c r="K86" s="207">
        <f>IF(NOT(ISERROR(MATCH(J86,#REF!,0))),#REF!&amp;"Por favor no seleccionar los criterios de impacto(Afectación Económica o presupuestal y Pérdida Reputacional)",J86)</f>
        <v>0</v>
      </c>
      <c r="L86" s="231" t="e">
        <f>IF(OR(K86=#REF!,K86=#REF!),"Leve",IF(OR(K86=#REF!,K86=#REF!),"Menor",IF(OR(K86=#REF!,K86=#REF!),"Moderado",IF(OR(K86=#REF!,K86=#REF!),"Mayor",IF(OR(K86=#REF!,K86=#REF!),"Catastrófico","")))))</f>
        <v>#REF!</v>
      </c>
      <c r="M86" s="234" t="e">
        <f>IF(L86="","",IF(L86="Leve",0.2,IF(L86="Menor",0.4,IF(L86="Moderado",0.6,IF(L86="Mayor",0.8,IF(L86="Catastrófico",1,))))))</f>
        <v>#REF!</v>
      </c>
      <c r="N86" s="237" t="e">
        <f>IF(OR(AND(H86="Muy Baja",L86="Leve"),AND(H86="Muy Baja",L86="Menor"),AND(H86="Baja",L86="Leve")),"Bajo",IF(OR(AND(H86="Muy baja",L86="Moderado"),AND(H86="Baja",L86="Menor"),AND(H86="Baja",L86="Moderado"),AND(H86="Media",L86="Leve"),AND(H86="Media",L86="Menor"),AND(H86="Media",L86="Moderado"),AND(H86="Alta",L86="Leve"),AND(H86="Alta",L86="Menor")),"Moderado",IF(OR(AND(H86="Muy Baja",L86="Mayor"),AND(H86="Baja",L86="Mayor"),AND(H86="Media",L86="Mayor"),AND(H86="Alta",L86="Moderado"),AND(H86="Alta",L86="Mayor"),AND(H86="Muy Alta",L86="Leve"),AND(H86="Muy Alta",L86="Menor"),AND(H86="Muy Alta",L86="Moderado"),AND(H86="Muy Alta",L86="Mayor")),"Alto",IF(OR(AND(H86="Muy Baja",L86="Catastrófico"),AND(H86="Baja",L86="Catastrófico"),AND(H86="Media",L86="Catastrófico"),AND(H86="Alta",L86="Catastrófico"),AND(H86="Muy Alta",L86="Catastrófico")),"Extremo",""))))</f>
        <v>#REF!</v>
      </c>
      <c r="O86" s="249"/>
      <c r="P86" s="341"/>
      <c r="Q86" s="333"/>
      <c r="R86" s="311"/>
      <c r="S86" s="311"/>
      <c r="T86" s="315" t="str">
        <f>IF(AND(R86="Preventivo",S86="Automático"),"50%",IF(AND(R86="Preventivo",S86="Manual"),"40%",IF(AND(R86="Detectivo",S86="Automático"),"40%",IF(AND(R86="Detectivo",S86="Manual"),"30%",IF(AND(R86="Correctivo",S86="Automático"),"35%",IF(AND(R86="Correctivo",S86="Manual"),"25%",""))))))</f>
        <v/>
      </c>
      <c r="U86" s="311"/>
      <c r="V86" s="311"/>
      <c r="W86" s="311"/>
      <c r="X86" s="140" t="str">
        <f>IFERROR(IF(Q86="Probabilidad",(I86-(+I86*T86)),IF(Q86="Impacto",I86,"")),"")</f>
        <v/>
      </c>
      <c r="Y86" s="313" t="str">
        <f>IFERROR(IF(X86="","",IF(X86&lt;=0.2,"Muy Baja",IF(X86&lt;=0.4,"Baja",IF(X86&lt;=0.6,"Media",IF(X86&lt;=0.8,"Alta","Muy Alta"))))),"")</f>
        <v/>
      </c>
      <c r="Z86" s="315" t="str">
        <f>+X86</f>
        <v/>
      </c>
      <c r="AA86" s="313" t="str">
        <f>IFERROR(IF(AB86="","",IF(AB86&lt;=0.2,"Leve",IF(AB86&lt;=0.4,"Menor",IF(AB86&lt;=0.6,"Moderado",IF(AB86&lt;=0.8,"Mayor","Catastrófico"))))),"")</f>
        <v/>
      </c>
      <c r="AB86" s="317" t="str">
        <f>IFERROR(IF(Q86="Impacto",(M86-(+M86*T86)),IF(Q86="Probabilidad",M86,"")),"")</f>
        <v/>
      </c>
      <c r="AC86" s="319" t="str">
        <f>IFERROR(IF(OR(AND(Y86="Muy Baja",AA86="Leve"),AND(Y86="Muy Baja",AA86="Menor"),AND(Y86="Baja",AA86="Leve")),"Bajo",IF(OR(AND(Y86="Muy baja",AA86="Moderado"),AND(Y86="Baja",AA86="Menor"),AND(Y86="Baja",AA86="Moderado"),AND(Y86="Media",AA86="Leve"),AND(Y86="Media",AA86="Menor"),AND(Y86="Media",AA86="Moderado"),AND(Y86="Alta",AA86="Leve"),AND(Y86="Alta",AA86="Menor")),"Moderado",IF(OR(AND(Y86="Muy Baja",AA86="Mayor"),AND(Y86="Baja",AA86="Mayor"),AND(Y86="Media",AA86="Mayor"),AND(Y86="Alta",AA86="Moderado"),AND(Y86="Alta",AA86="Mayor"),AND(Y86="Muy Alta",AA86="Leve"),AND(Y86="Muy Alta",AA86="Menor"),AND(Y86="Muy Alta",AA86="Moderado"),AND(Y86="Muy Alta",AA86="Mayor")),"Alto",IF(OR(AND(Y86="Muy Baja",AA86="Catastrófico"),AND(Y86="Baja",AA86="Catastrófico"),AND(Y86="Media",AA86="Catastrófico"),AND(Y86="Alta",AA86="Catastrófico"),AND(Y86="Muy Alta",AA86="Catastrófico")),"Extremo","")))),"")</f>
        <v/>
      </c>
      <c r="AD86" s="311"/>
      <c r="AE86" s="240"/>
      <c r="AF86" s="335"/>
      <c r="AG86" s="343"/>
      <c r="AH86" s="343"/>
      <c r="AI86" s="240"/>
      <c r="AJ86" s="335"/>
    </row>
    <row r="87" spans="1:36" hidden="1" x14ac:dyDescent="0.3">
      <c r="A87" s="250"/>
      <c r="B87" s="241"/>
      <c r="C87" s="241"/>
      <c r="D87" s="241"/>
      <c r="E87" s="253"/>
      <c r="F87" s="241"/>
      <c r="G87" s="336"/>
      <c r="H87" s="232"/>
      <c r="I87" s="235"/>
      <c r="J87" s="339"/>
      <c r="K87" s="208">
        <f ca="1">IF(NOT(ISERROR(MATCH(J87,_xlfn.ANCHORARRAY(E98),0))),I100&amp;"Por favor no seleccionar los criterios de impacto",J87)</f>
        <v>0</v>
      </c>
      <c r="L87" s="232"/>
      <c r="M87" s="235"/>
      <c r="N87" s="238"/>
      <c r="O87" s="251"/>
      <c r="P87" s="342"/>
      <c r="Q87" s="334"/>
      <c r="R87" s="312"/>
      <c r="S87" s="312"/>
      <c r="T87" s="316"/>
      <c r="U87" s="312"/>
      <c r="V87" s="312"/>
      <c r="W87" s="312"/>
      <c r="X87" s="140" t="str">
        <f>IFERROR(IF(AND(Q86="Probabilidad",Q87="Probabilidad"),(Z86-(+Z86*T87)),IF(Q87="Probabilidad",(I86-(+I86*T87)),IF(Q87="Impacto",Z86,""))),"")</f>
        <v/>
      </c>
      <c r="Y87" s="314"/>
      <c r="Z87" s="316"/>
      <c r="AA87" s="314"/>
      <c r="AB87" s="318"/>
      <c r="AC87" s="320"/>
      <c r="AD87" s="312"/>
      <c r="AE87" s="242"/>
      <c r="AF87" s="337"/>
      <c r="AG87" s="344"/>
      <c r="AH87" s="344"/>
      <c r="AI87" s="242"/>
      <c r="AJ87" s="337"/>
    </row>
    <row r="88" spans="1:36" hidden="1" x14ac:dyDescent="0.3">
      <c r="A88" s="250"/>
      <c r="B88" s="241"/>
      <c r="C88" s="241"/>
      <c r="D88" s="241"/>
      <c r="E88" s="253"/>
      <c r="F88" s="241"/>
      <c r="G88" s="336"/>
      <c r="H88" s="232"/>
      <c r="I88" s="235"/>
      <c r="J88" s="339"/>
      <c r="K88" s="208">
        <f ca="1">IF(NOT(ISERROR(MATCH(J88,_xlfn.ANCHORARRAY(E99),0))),I101&amp;"Por favor no seleccionar los criterios de impacto",J88)</f>
        <v>0</v>
      </c>
      <c r="L88" s="232"/>
      <c r="M88" s="235"/>
      <c r="N88" s="238"/>
      <c r="O88" s="139">
        <v>3</v>
      </c>
      <c r="P88" s="136"/>
      <c r="Q88" s="125" t="str">
        <f>IF(OR(R88="Preventivo",R88="Detectivo"),"Probabilidad",IF(R88="Correctivo","Impacto",""))</f>
        <v/>
      </c>
      <c r="R88" s="126"/>
      <c r="S88" s="126"/>
      <c r="T88" s="127" t="str">
        <f t="shared" ref="T88:T91" si="77">IF(AND(R88="Preventivo",S88="Automático"),"50%",IF(AND(R88="Preventivo",S88="Manual"),"40%",IF(AND(R88="Detectivo",S88="Automático"),"40%",IF(AND(R88="Detectivo",S88="Manual"),"30%",IF(AND(R88="Correctivo",S88="Automático"),"35%",IF(AND(R88="Correctivo",S88="Manual"),"25%",""))))))</f>
        <v/>
      </c>
      <c r="U88" s="126"/>
      <c r="V88" s="126"/>
      <c r="W88" s="126"/>
      <c r="X88" s="128" t="str">
        <f>IFERROR(IF(AND(Q87="Probabilidad",Q88="Probabilidad"),(Z87-(+Z87*T88)),IF(AND(Q87="Impacto",Q88="Probabilidad"),(Z86-(+Z86*T88)),IF(Q88="Impacto",Z87,""))),"")</f>
        <v/>
      </c>
      <c r="Y88" s="129" t="str">
        <f t="shared" ref="Y88:Y139" si="78">IFERROR(IF(X88="","",IF(X88&lt;=0.2,"Muy Baja",IF(X88&lt;=0.4,"Baja",IF(X88&lt;=0.6,"Media",IF(X88&lt;=0.8,"Alta","Muy Alta"))))),"")</f>
        <v/>
      </c>
      <c r="Z88" s="130" t="str">
        <f t="shared" ref="Z88:Z91" si="79">+X88</f>
        <v/>
      </c>
      <c r="AA88" s="129" t="str">
        <f t="shared" ref="AA88:AA139" si="80">IFERROR(IF(AB88="","",IF(AB88&lt;=0.2,"Leve",IF(AB88&lt;=0.4,"Menor",IF(AB88&lt;=0.6,"Moderado",IF(AB88&lt;=0.8,"Mayor","Catastrófico"))))),"")</f>
        <v/>
      </c>
      <c r="AB88" s="138" t="str">
        <f>IFERROR(IF(AND(Q87="Impacto",Q88="Impacto"),(AB87-(+AB87*T88)),IF(AND(Q87="Probabilidad",Q88="Impacto"),(AB86-(+AB86*T88)),IF(Q88="Probabilidad",AB87,""))),"")</f>
        <v/>
      </c>
      <c r="AC88" s="131" t="str">
        <f t="shared" ref="AC88" si="81">IFERROR(IF(OR(AND(Y88="Muy Baja",AA88="Leve"),AND(Y88="Muy Baja",AA88="Menor"),AND(Y88="Baja",AA88="Leve")),"Bajo",IF(OR(AND(Y88="Muy baja",AA88="Moderado"),AND(Y88="Baja",AA88="Menor"),AND(Y88="Baja",AA88="Moderado"),AND(Y88="Media",AA88="Leve"),AND(Y88="Media",AA88="Menor"),AND(Y88="Media",AA88="Moderado"),AND(Y88="Alta",AA88="Leve"),AND(Y88="Alta",AA88="Menor")),"Moderado",IF(OR(AND(Y88="Muy Baja",AA88="Mayor"),AND(Y88="Baja",AA88="Mayor"),AND(Y88="Media",AA88="Mayor"),AND(Y88="Alta",AA88="Moderado"),AND(Y88="Alta",AA88="Mayor"),AND(Y88="Muy Alta",AA88="Leve"),AND(Y88="Muy Alta",AA88="Menor"),AND(Y88="Muy Alta",AA88="Moderado"),AND(Y88="Muy Alta",AA88="Mayor")),"Alto",IF(OR(AND(Y88="Muy Baja",AA88="Catastrófico"),AND(Y88="Baja",AA88="Catastrófico"),AND(Y88="Media",AA88="Catastrófico"),AND(Y88="Alta",AA88="Catastrófico"),AND(Y88="Muy Alta",AA88="Catastrófico")),"Extremo","")))),"")</f>
        <v/>
      </c>
      <c r="AD88" s="132"/>
      <c r="AE88" s="133"/>
      <c r="AF88" s="134"/>
      <c r="AG88" s="135"/>
      <c r="AH88" s="135"/>
      <c r="AI88" s="133"/>
      <c r="AJ88" s="134"/>
    </row>
    <row r="89" spans="1:36" hidden="1" x14ac:dyDescent="0.3">
      <c r="A89" s="250"/>
      <c r="B89" s="241"/>
      <c r="C89" s="241"/>
      <c r="D89" s="241"/>
      <c r="E89" s="253"/>
      <c r="F89" s="241"/>
      <c r="G89" s="336"/>
      <c r="H89" s="232"/>
      <c r="I89" s="235"/>
      <c r="J89" s="339"/>
      <c r="K89" s="208">
        <f ca="1">IF(NOT(ISERROR(MATCH(J89,_xlfn.ANCHORARRAY(E100),0))),I102&amp;"Por favor no seleccionar los criterios de impacto",J89)</f>
        <v>0</v>
      </c>
      <c r="L89" s="232"/>
      <c r="M89" s="235"/>
      <c r="N89" s="238"/>
      <c r="O89" s="139">
        <v>4</v>
      </c>
      <c r="P89" s="124"/>
      <c r="Q89" s="125" t="str">
        <f t="shared" ref="Q89:Q91" si="82">IF(OR(R89="Preventivo",R89="Detectivo"),"Probabilidad",IF(R89="Correctivo","Impacto",""))</f>
        <v/>
      </c>
      <c r="R89" s="126"/>
      <c r="S89" s="126"/>
      <c r="T89" s="127" t="str">
        <f t="shared" si="77"/>
        <v/>
      </c>
      <c r="U89" s="126"/>
      <c r="V89" s="126"/>
      <c r="W89" s="126"/>
      <c r="X89" s="128" t="str">
        <f t="shared" ref="X89:X91" si="83">IFERROR(IF(AND(Q88="Probabilidad",Q89="Probabilidad"),(Z88-(+Z88*T89)),IF(AND(Q88="Impacto",Q89="Probabilidad"),(Z87-(+Z87*T89)),IF(Q89="Impacto",Z88,""))),"")</f>
        <v/>
      </c>
      <c r="Y89" s="129" t="str">
        <f t="shared" si="78"/>
        <v/>
      </c>
      <c r="Z89" s="130" t="str">
        <f t="shared" si="79"/>
        <v/>
      </c>
      <c r="AA89" s="129" t="str">
        <f t="shared" si="80"/>
        <v/>
      </c>
      <c r="AB89" s="138" t="str">
        <f t="shared" ref="AB89:AB91" si="84">IFERROR(IF(AND(Q88="Impacto",Q89="Impacto"),(AB88-(+AB88*T89)),IF(AND(Q88="Probabilidad",Q89="Impacto"),(AB87-(+AB87*T89)),IF(Q89="Probabilidad",AB88,""))),"")</f>
        <v/>
      </c>
      <c r="AC89" s="131" t="str">
        <f>IFERROR(IF(OR(AND(Y89="Muy Baja",AA89="Leve"),AND(Y89="Muy Baja",AA89="Menor"),AND(Y89="Baja",AA89="Leve")),"Bajo",IF(OR(AND(Y89="Muy baja",AA89="Moderado"),AND(Y89="Baja",AA89="Menor"),AND(Y89="Baja",AA89="Moderado"),AND(Y89="Media",AA89="Leve"),AND(Y89="Media",AA89="Menor"),AND(Y89="Media",AA89="Moderado"),AND(Y89="Alta",AA89="Leve"),AND(Y89="Alta",AA89="Menor")),"Moderado",IF(OR(AND(Y89="Muy Baja",AA89="Mayor"),AND(Y89="Baja",AA89="Mayor"),AND(Y89="Media",AA89="Mayor"),AND(Y89="Alta",AA89="Moderado"),AND(Y89="Alta",AA89="Mayor"),AND(Y89="Muy Alta",AA89="Leve"),AND(Y89="Muy Alta",AA89="Menor"),AND(Y89="Muy Alta",AA89="Moderado"),AND(Y89="Muy Alta",AA89="Mayor")),"Alto",IF(OR(AND(Y89="Muy Baja",AA89="Catastrófico"),AND(Y89="Baja",AA89="Catastrófico"),AND(Y89="Media",AA89="Catastrófico"),AND(Y89="Alta",AA89="Catastrófico"),AND(Y89="Muy Alta",AA89="Catastrófico")),"Extremo","")))),"")</f>
        <v/>
      </c>
      <c r="AD89" s="132"/>
      <c r="AE89" s="133"/>
      <c r="AF89" s="134"/>
      <c r="AG89" s="135"/>
      <c r="AH89" s="135"/>
      <c r="AI89" s="133"/>
      <c r="AJ89" s="134"/>
    </row>
    <row r="90" spans="1:36" hidden="1" x14ac:dyDescent="0.3">
      <c r="A90" s="250"/>
      <c r="B90" s="241"/>
      <c r="C90" s="241"/>
      <c r="D90" s="241"/>
      <c r="E90" s="253"/>
      <c r="F90" s="241"/>
      <c r="G90" s="336"/>
      <c r="H90" s="232"/>
      <c r="I90" s="235"/>
      <c r="J90" s="339"/>
      <c r="K90" s="208">
        <f ca="1">IF(NOT(ISERROR(MATCH(J90,_xlfn.ANCHORARRAY(E101),0))),I103&amp;"Por favor no seleccionar los criterios de impacto",J90)</f>
        <v>0</v>
      </c>
      <c r="L90" s="232"/>
      <c r="M90" s="235"/>
      <c r="N90" s="238"/>
      <c r="O90" s="139">
        <v>5</v>
      </c>
      <c r="P90" s="124"/>
      <c r="Q90" s="125" t="str">
        <f t="shared" si="82"/>
        <v/>
      </c>
      <c r="R90" s="126"/>
      <c r="S90" s="126"/>
      <c r="T90" s="127" t="str">
        <f t="shared" si="77"/>
        <v/>
      </c>
      <c r="U90" s="126"/>
      <c r="V90" s="126"/>
      <c r="W90" s="126"/>
      <c r="X90" s="128" t="str">
        <f t="shared" si="83"/>
        <v/>
      </c>
      <c r="Y90" s="129" t="str">
        <f t="shared" si="78"/>
        <v/>
      </c>
      <c r="Z90" s="130" t="str">
        <f t="shared" si="79"/>
        <v/>
      </c>
      <c r="AA90" s="129" t="str">
        <f t="shared" si="80"/>
        <v/>
      </c>
      <c r="AB90" s="138" t="str">
        <f t="shared" si="84"/>
        <v/>
      </c>
      <c r="AC90" s="131" t="str">
        <f t="shared" ref="AC90:AC91" si="85">IFERROR(IF(OR(AND(Y90="Muy Baja",AA90="Leve"),AND(Y90="Muy Baja",AA90="Menor"),AND(Y90="Baja",AA90="Leve")),"Bajo",IF(OR(AND(Y90="Muy baja",AA90="Moderado"),AND(Y90="Baja",AA90="Menor"),AND(Y90="Baja",AA90="Moderado"),AND(Y90="Media",AA90="Leve"),AND(Y90="Media",AA90="Menor"),AND(Y90="Media",AA90="Moderado"),AND(Y90="Alta",AA90="Leve"),AND(Y90="Alta",AA90="Menor")),"Moderado",IF(OR(AND(Y90="Muy Baja",AA90="Mayor"),AND(Y90="Baja",AA90="Mayor"),AND(Y90="Media",AA90="Mayor"),AND(Y90="Alta",AA90="Moderado"),AND(Y90="Alta",AA90="Mayor"),AND(Y90="Muy Alta",AA90="Leve"),AND(Y90="Muy Alta",AA90="Menor"),AND(Y90="Muy Alta",AA90="Moderado"),AND(Y90="Muy Alta",AA90="Mayor")),"Alto",IF(OR(AND(Y90="Muy Baja",AA90="Catastrófico"),AND(Y90="Baja",AA90="Catastrófico"),AND(Y90="Media",AA90="Catastrófico"),AND(Y90="Alta",AA90="Catastrófico"),AND(Y90="Muy Alta",AA90="Catastrófico")),"Extremo","")))),"")</f>
        <v/>
      </c>
      <c r="AD90" s="132"/>
      <c r="AE90" s="133"/>
      <c r="AF90" s="134"/>
      <c r="AG90" s="135"/>
      <c r="AH90" s="135"/>
      <c r="AI90" s="133"/>
      <c r="AJ90" s="134"/>
    </row>
    <row r="91" spans="1:36" hidden="1" x14ac:dyDescent="0.3">
      <c r="A91" s="251"/>
      <c r="B91" s="242"/>
      <c r="C91" s="242"/>
      <c r="D91" s="242"/>
      <c r="E91" s="254"/>
      <c r="F91" s="242"/>
      <c r="G91" s="337"/>
      <c r="H91" s="233"/>
      <c r="I91" s="236"/>
      <c r="J91" s="340"/>
      <c r="K91" s="209">
        <f ca="1">IF(NOT(ISERROR(MATCH(J91,_xlfn.ANCHORARRAY(E102),0))),I104&amp;"Por favor no seleccionar los criterios de impacto",J91)</f>
        <v>0</v>
      </c>
      <c r="L91" s="233"/>
      <c r="M91" s="236"/>
      <c r="N91" s="239"/>
      <c r="O91" s="139">
        <v>6</v>
      </c>
      <c r="P91" s="124"/>
      <c r="Q91" s="125" t="str">
        <f t="shared" si="82"/>
        <v/>
      </c>
      <c r="R91" s="126"/>
      <c r="S91" s="126"/>
      <c r="T91" s="127" t="str">
        <f t="shared" si="77"/>
        <v/>
      </c>
      <c r="U91" s="126"/>
      <c r="V91" s="126"/>
      <c r="W91" s="126"/>
      <c r="X91" s="128" t="str">
        <f t="shared" si="83"/>
        <v/>
      </c>
      <c r="Y91" s="129" t="str">
        <f t="shared" si="78"/>
        <v/>
      </c>
      <c r="Z91" s="130" t="str">
        <f t="shared" si="79"/>
        <v/>
      </c>
      <c r="AA91" s="129" t="str">
        <f t="shared" si="80"/>
        <v/>
      </c>
      <c r="AB91" s="138" t="str">
        <f t="shared" si="84"/>
        <v/>
      </c>
      <c r="AC91" s="131" t="str">
        <f t="shared" si="85"/>
        <v/>
      </c>
      <c r="AD91" s="132"/>
      <c r="AE91" s="133"/>
      <c r="AF91" s="134"/>
      <c r="AG91" s="135"/>
      <c r="AH91" s="135"/>
      <c r="AI91" s="133"/>
      <c r="AJ91" s="134"/>
    </row>
    <row r="92" spans="1:36" hidden="1" x14ac:dyDescent="0.3">
      <c r="A92" s="213">
        <v>3</v>
      </c>
      <c r="B92" s="216"/>
      <c r="C92" s="216"/>
      <c r="D92" s="216"/>
      <c r="E92" s="219"/>
      <c r="F92" s="216"/>
      <c r="G92" s="222"/>
      <c r="H92" s="225" t="str">
        <f>IF(G92&lt;=0,"",IF(G92&lt;=2,"Muy Baja",IF(G92&lt;=24,"Baja",IF(G92&lt;=500,"Media",IF(G92&lt;=5000,"Alta","Muy Alta")))))</f>
        <v/>
      </c>
      <c r="I92" s="207" t="str">
        <f>IF(H92="","",IF(H92="Muy Baja",0.2,IF(H92="Baja",0.4,IF(H92="Media",0.6,IF(H92="Alta",0.8,IF(H92="Muy Alta",1,))))))</f>
        <v/>
      </c>
      <c r="J92" s="228"/>
      <c r="K92" s="207">
        <f>IF(NOT(ISERROR(MATCH(J92,#REF!,0))),#REF!&amp;"Por favor no seleccionar los criterios de impacto(Afectación Económica o presupuestal y Pérdida Reputacional)",J92)</f>
        <v>0</v>
      </c>
      <c r="L92" s="225" t="e">
        <f>IF(OR(K92=#REF!,K92=#REF!),"Leve",IF(OR(K92=#REF!,K92=#REF!),"Menor",IF(OR(K92=#REF!,K92=#REF!),"Moderado",IF(OR(K92=#REF!,K92=#REF!),"Mayor",IF(OR(K92=#REF!,K92=#REF!),"Catastrófico","")))))</f>
        <v>#REF!</v>
      </c>
      <c r="M92" s="207" t="e">
        <f>IF(L92="","",IF(L92="Leve",0.2,IF(L92="Menor",0.4,IF(L92="Moderado",0.6,IF(L92="Mayor",0.8,IF(L92="Catastrófico",1,))))))</f>
        <v>#REF!</v>
      </c>
      <c r="N92" s="210" t="e">
        <f>IF(OR(AND(H92="Muy Baja",L92="Leve"),AND(H92="Muy Baja",L92="Menor"),AND(H92="Baja",L92="Leve")),"Bajo",IF(OR(AND(H92="Muy baja",L92="Moderado"),AND(H92="Baja",L92="Menor"),AND(H92="Baja",L92="Moderado"),AND(H92="Media",L92="Leve"),AND(H92="Media",L92="Menor"),AND(H92="Media",L92="Moderado"),AND(H92="Alta",L92="Leve"),AND(H92="Alta",L92="Menor")),"Moderado",IF(OR(AND(H92="Muy Baja",L92="Mayor"),AND(H92="Baja",L92="Mayor"),AND(H92="Media",L92="Mayor"),AND(H92="Alta",L92="Moderado"),AND(H92="Alta",L92="Mayor"),AND(H92="Muy Alta",L92="Leve"),AND(H92="Muy Alta",L92="Menor"),AND(H92="Muy Alta",L92="Moderado"),AND(H92="Muy Alta",L92="Mayor")),"Alto",IF(OR(AND(H92="Muy Baja",L92="Catastrófico"),AND(H92="Baja",L92="Catastrófico"),AND(H92="Media",L92="Catastrófico"),AND(H92="Alta",L92="Catastrófico"),AND(H92="Muy Alta",L92="Catastrófico")),"Extremo",""))))</f>
        <v>#REF!</v>
      </c>
      <c r="O92" s="139">
        <v>1</v>
      </c>
      <c r="P92" s="124"/>
      <c r="Q92" s="125" t="str">
        <f>IF(OR(R92="Preventivo",R92="Detectivo"),"Probabilidad",IF(R92="Correctivo","Impacto",""))</f>
        <v/>
      </c>
      <c r="R92" s="126"/>
      <c r="S92" s="126"/>
      <c r="T92" s="127" t="str">
        <f>IF(AND(R92="Preventivo",S92="Automático"),"50%",IF(AND(R92="Preventivo",S92="Manual"),"40%",IF(AND(R92="Detectivo",S92="Automático"),"40%",IF(AND(R92="Detectivo",S92="Manual"),"30%",IF(AND(R92="Correctivo",S92="Automático"),"35%",IF(AND(R92="Correctivo",S92="Manual"),"25%",""))))))</f>
        <v/>
      </c>
      <c r="U92" s="126"/>
      <c r="V92" s="126"/>
      <c r="W92" s="126"/>
      <c r="X92" s="128" t="str">
        <f>IFERROR(IF(Q92="Probabilidad",(I92-(+I92*T92)),IF(Q92="Impacto",I92,"")),"")</f>
        <v/>
      </c>
      <c r="Y92" s="129" t="str">
        <f>IFERROR(IF(X92="","",IF(X92&lt;=0.2,"Muy Baja",IF(X92&lt;=0.4,"Baja",IF(X92&lt;=0.6,"Media",IF(X92&lt;=0.8,"Alta","Muy Alta"))))),"")</f>
        <v/>
      </c>
      <c r="Z92" s="130" t="str">
        <f>+X92</f>
        <v/>
      </c>
      <c r="AA92" s="129" t="str">
        <f>IFERROR(IF(AB92="","",IF(AB92&lt;=0.2,"Leve",IF(AB92&lt;=0.4,"Menor",IF(AB92&lt;=0.6,"Moderado",IF(AB92&lt;=0.8,"Mayor","Catastrófico"))))),"")</f>
        <v/>
      </c>
      <c r="AB92" s="138" t="str">
        <f>IFERROR(IF(Q92="Impacto",(M92-(+M92*T92)),IF(Q92="Probabilidad",M92,"")),"")</f>
        <v/>
      </c>
      <c r="AC92" s="131" t="str">
        <f>IFERROR(IF(OR(AND(Y92="Muy Baja",AA92="Leve"),AND(Y92="Muy Baja",AA92="Menor"),AND(Y92="Baja",AA92="Leve")),"Bajo",IF(OR(AND(Y92="Muy baja",AA92="Moderado"),AND(Y92="Baja",AA92="Menor"),AND(Y92="Baja",AA92="Moderado"),AND(Y92="Media",AA92="Leve"),AND(Y92="Media",AA92="Menor"),AND(Y92="Media",AA92="Moderado"),AND(Y92="Alta",AA92="Leve"),AND(Y92="Alta",AA92="Menor")),"Moderado",IF(OR(AND(Y92="Muy Baja",AA92="Mayor"),AND(Y92="Baja",AA92="Mayor"),AND(Y92="Media",AA92="Mayor"),AND(Y92="Alta",AA92="Moderado"),AND(Y92="Alta",AA92="Mayor"),AND(Y92="Muy Alta",AA92="Leve"),AND(Y92="Muy Alta",AA92="Menor"),AND(Y92="Muy Alta",AA92="Moderado"),AND(Y92="Muy Alta",AA92="Mayor")),"Alto",IF(OR(AND(Y92="Muy Baja",AA92="Catastrófico"),AND(Y92="Baja",AA92="Catastrófico"),AND(Y92="Media",AA92="Catastrófico"),AND(Y92="Alta",AA92="Catastrófico"),AND(Y92="Muy Alta",AA92="Catastrófico")),"Extremo","")))),"")</f>
        <v/>
      </c>
      <c r="AD92" s="132"/>
      <c r="AE92" s="133"/>
      <c r="AF92" s="134"/>
      <c r="AG92" s="135"/>
      <c r="AH92" s="135"/>
      <c r="AI92" s="133"/>
      <c r="AJ92" s="134"/>
    </row>
    <row r="93" spans="1:36" hidden="1" x14ac:dyDescent="0.3">
      <c r="A93" s="214"/>
      <c r="B93" s="217"/>
      <c r="C93" s="217"/>
      <c r="D93" s="217"/>
      <c r="E93" s="220"/>
      <c r="F93" s="217"/>
      <c r="G93" s="223"/>
      <c r="H93" s="226"/>
      <c r="I93" s="208"/>
      <c r="J93" s="229"/>
      <c r="K93" s="208">
        <f t="shared" ref="K93:K97" ca="1" si="86">IF(NOT(ISERROR(MATCH(J93,_xlfn.ANCHORARRAY(E104),0))),I106&amp;"Por favor no seleccionar los criterios de impacto",J93)</f>
        <v>0</v>
      </c>
      <c r="L93" s="226"/>
      <c r="M93" s="208"/>
      <c r="N93" s="211"/>
      <c r="O93" s="139">
        <v>2</v>
      </c>
      <c r="P93" s="124"/>
      <c r="Q93" s="125" t="str">
        <f>IF(OR(R93="Preventivo",R93="Detectivo"),"Probabilidad",IF(R93="Correctivo","Impacto",""))</f>
        <v/>
      </c>
      <c r="R93" s="126"/>
      <c r="S93" s="126"/>
      <c r="T93" s="127" t="str">
        <f t="shared" ref="T93:T97" si="87">IF(AND(R93="Preventivo",S93="Automático"),"50%",IF(AND(R93="Preventivo",S93="Manual"),"40%",IF(AND(R93="Detectivo",S93="Automático"),"40%",IF(AND(R93="Detectivo",S93="Manual"),"30%",IF(AND(R93="Correctivo",S93="Automático"),"35%",IF(AND(R93="Correctivo",S93="Manual"),"25%",""))))))</f>
        <v/>
      </c>
      <c r="U93" s="126"/>
      <c r="V93" s="126"/>
      <c r="W93" s="126"/>
      <c r="X93" s="137" t="str">
        <f>IFERROR(IF(AND(Q92="Probabilidad",Q93="Probabilidad"),(Z92-(+Z92*T93)),IF(Q93="Probabilidad",(I92-(+I92*T93)),IF(Q93="Impacto",Z92,""))),"")</f>
        <v/>
      </c>
      <c r="Y93" s="129" t="str">
        <f t="shared" si="78"/>
        <v/>
      </c>
      <c r="Z93" s="130" t="str">
        <f t="shared" ref="Z93:Z97" si="88">+X93</f>
        <v/>
      </c>
      <c r="AA93" s="129" t="str">
        <f t="shared" si="80"/>
        <v/>
      </c>
      <c r="AB93" s="138" t="str">
        <f>IFERROR(IF(AND(Q92="Impacto",Q93="Impacto"),(AB92-(+AB92*T93)),IF(Q93="Impacto",(M92-(+M92*T93)),IF(Q93="Probabilidad",AB92,""))),"")</f>
        <v/>
      </c>
      <c r="AC93" s="131" t="str">
        <f t="shared" ref="AC93:AC94" si="89">IFERROR(IF(OR(AND(Y93="Muy Baja",AA93="Leve"),AND(Y93="Muy Baja",AA93="Menor"),AND(Y93="Baja",AA93="Leve")),"Bajo",IF(OR(AND(Y93="Muy baja",AA93="Moderado"),AND(Y93="Baja",AA93="Menor"),AND(Y93="Baja",AA93="Moderado"),AND(Y93="Media",AA93="Leve"),AND(Y93="Media",AA93="Menor"),AND(Y93="Media",AA93="Moderado"),AND(Y93="Alta",AA93="Leve"),AND(Y93="Alta",AA93="Menor")),"Moderado",IF(OR(AND(Y93="Muy Baja",AA93="Mayor"),AND(Y93="Baja",AA93="Mayor"),AND(Y93="Media",AA93="Mayor"),AND(Y93="Alta",AA93="Moderado"),AND(Y93="Alta",AA93="Mayor"),AND(Y93="Muy Alta",AA93="Leve"),AND(Y93="Muy Alta",AA93="Menor"),AND(Y93="Muy Alta",AA93="Moderado"),AND(Y93="Muy Alta",AA93="Mayor")),"Alto",IF(OR(AND(Y93="Muy Baja",AA93="Catastrófico"),AND(Y93="Baja",AA93="Catastrófico"),AND(Y93="Media",AA93="Catastrófico"),AND(Y93="Alta",AA93="Catastrófico"),AND(Y93="Muy Alta",AA93="Catastrófico")),"Extremo","")))),"")</f>
        <v/>
      </c>
      <c r="AD93" s="132"/>
      <c r="AE93" s="133"/>
      <c r="AF93" s="134"/>
      <c r="AG93" s="135"/>
      <c r="AH93" s="135"/>
      <c r="AI93" s="133"/>
      <c r="AJ93" s="134"/>
    </row>
    <row r="94" spans="1:36" hidden="1" x14ac:dyDescent="0.3">
      <c r="A94" s="214"/>
      <c r="B94" s="217"/>
      <c r="C94" s="217"/>
      <c r="D94" s="217"/>
      <c r="E94" s="220"/>
      <c r="F94" s="217"/>
      <c r="G94" s="223"/>
      <c r="H94" s="226"/>
      <c r="I94" s="208"/>
      <c r="J94" s="229"/>
      <c r="K94" s="208">
        <f t="shared" ca="1" si="86"/>
        <v>0</v>
      </c>
      <c r="L94" s="226"/>
      <c r="M94" s="208"/>
      <c r="N94" s="211"/>
      <c r="O94" s="139">
        <v>3</v>
      </c>
      <c r="P94" s="136"/>
      <c r="Q94" s="125" t="str">
        <f>IF(OR(R94="Preventivo",R94="Detectivo"),"Probabilidad",IF(R94="Correctivo","Impacto",""))</f>
        <v/>
      </c>
      <c r="R94" s="126"/>
      <c r="S94" s="126"/>
      <c r="T94" s="127" t="str">
        <f t="shared" si="87"/>
        <v/>
      </c>
      <c r="U94" s="126"/>
      <c r="V94" s="126"/>
      <c r="W94" s="126"/>
      <c r="X94" s="128" t="str">
        <f>IFERROR(IF(AND(Q93="Probabilidad",Q94="Probabilidad"),(Z93-(+Z93*T94)),IF(AND(Q93="Impacto",Q94="Probabilidad"),(Z92-(+Z92*T94)),IF(Q94="Impacto",Z93,""))),"")</f>
        <v/>
      </c>
      <c r="Y94" s="129" t="str">
        <f t="shared" si="78"/>
        <v/>
      </c>
      <c r="Z94" s="130" t="str">
        <f t="shared" si="88"/>
        <v/>
      </c>
      <c r="AA94" s="129" t="str">
        <f t="shared" si="80"/>
        <v/>
      </c>
      <c r="AB94" s="138" t="str">
        <f>IFERROR(IF(AND(Q93="Impacto",Q94="Impacto"),(AB93-(+AB93*T94)),IF(AND(Q93="Probabilidad",Q94="Impacto"),(AB92-(+AB92*T94)),IF(Q94="Probabilidad",AB93,""))),"")</f>
        <v/>
      </c>
      <c r="AC94" s="131" t="str">
        <f t="shared" si="89"/>
        <v/>
      </c>
      <c r="AD94" s="132"/>
      <c r="AE94" s="133"/>
      <c r="AF94" s="134"/>
      <c r="AG94" s="135"/>
      <c r="AH94" s="135"/>
      <c r="AI94" s="133"/>
      <c r="AJ94" s="134"/>
    </row>
    <row r="95" spans="1:36" hidden="1" x14ac:dyDescent="0.3">
      <c r="A95" s="214"/>
      <c r="B95" s="217"/>
      <c r="C95" s="217"/>
      <c r="D95" s="217"/>
      <c r="E95" s="220"/>
      <c r="F95" s="217"/>
      <c r="G95" s="223"/>
      <c r="H95" s="226"/>
      <c r="I95" s="208"/>
      <c r="J95" s="229"/>
      <c r="K95" s="208">
        <f t="shared" ca="1" si="86"/>
        <v>0</v>
      </c>
      <c r="L95" s="226"/>
      <c r="M95" s="208"/>
      <c r="N95" s="211"/>
      <c r="O95" s="139">
        <v>4</v>
      </c>
      <c r="P95" s="124"/>
      <c r="Q95" s="125" t="str">
        <f t="shared" ref="Q95:Q97" si="90">IF(OR(R95="Preventivo",R95="Detectivo"),"Probabilidad",IF(R95="Correctivo","Impacto",""))</f>
        <v/>
      </c>
      <c r="R95" s="126"/>
      <c r="S95" s="126"/>
      <c r="T95" s="127" t="str">
        <f t="shared" si="87"/>
        <v/>
      </c>
      <c r="U95" s="126"/>
      <c r="V95" s="126"/>
      <c r="W95" s="126"/>
      <c r="X95" s="128" t="str">
        <f t="shared" ref="X95:X97" si="91">IFERROR(IF(AND(Q94="Probabilidad",Q95="Probabilidad"),(Z94-(+Z94*T95)),IF(AND(Q94="Impacto",Q95="Probabilidad"),(Z93-(+Z93*T95)),IF(Q95="Impacto",Z94,""))),"")</f>
        <v/>
      </c>
      <c r="Y95" s="129" t="str">
        <f t="shared" si="78"/>
        <v/>
      </c>
      <c r="Z95" s="130" t="str">
        <f t="shared" si="88"/>
        <v/>
      </c>
      <c r="AA95" s="129" t="str">
        <f t="shared" si="80"/>
        <v/>
      </c>
      <c r="AB95" s="138" t="str">
        <f t="shared" ref="AB95:AB97" si="92">IFERROR(IF(AND(Q94="Impacto",Q95="Impacto"),(AB94-(+AB94*T95)),IF(AND(Q94="Probabilidad",Q95="Impacto"),(AB93-(+AB93*T95)),IF(Q95="Probabilidad",AB94,""))),"")</f>
        <v/>
      </c>
      <c r="AC95" s="131" t="str">
        <f>IFERROR(IF(OR(AND(Y95="Muy Baja",AA95="Leve"),AND(Y95="Muy Baja",AA95="Menor"),AND(Y95="Baja",AA95="Leve")),"Bajo",IF(OR(AND(Y95="Muy baja",AA95="Moderado"),AND(Y95="Baja",AA95="Menor"),AND(Y95="Baja",AA95="Moderado"),AND(Y95="Media",AA95="Leve"),AND(Y95="Media",AA95="Menor"),AND(Y95="Media",AA95="Moderado"),AND(Y95="Alta",AA95="Leve"),AND(Y95="Alta",AA95="Menor")),"Moderado",IF(OR(AND(Y95="Muy Baja",AA95="Mayor"),AND(Y95="Baja",AA95="Mayor"),AND(Y95="Media",AA95="Mayor"),AND(Y95="Alta",AA95="Moderado"),AND(Y95="Alta",AA95="Mayor"),AND(Y95="Muy Alta",AA95="Leve"),AND(Y95="Muy Alta",AA95="Menor"),AND(Y95="Muy Alta",AA95="Moderado"),AND(Y95="Muy Alta",AA95="Mayor")),"Alto",IF(OR(AND(Y95="Muy Baja",AA95="Catastrófico"),AND(Y95="Baja",AA95="Catastrófico"),AND(Y95="Media",AA95="Catastrófico"),AND(Y95="Alta",AA95="Catastrófico"),AND(Y95="Muy Alta",AA95="Catastrófico")),"Extremo","")))),"")</f>
        <v/>
      </c>
      <c r="AD95" s="132"/>
      <c r="AE95" s="133"/>
      <c r="AF95" s="134"/>
      <c r="AG95" s="135"/>
      <c r="AH95" s="135"/>
      <c r="AI95" s="133"/>
      <c r="AJ95" s="134"/>
    </row>
    <row r="96" spans="1:36" hidden="1" x14ac:dyDescent="0.3">
      <c r="A96" s="214"/>
      <c r="B96" s="217"/>
      <c r="C96" s="217"/>
      <c r="D96" s="217"/>
      <c r="E96" s="220"/>
      <c r="F96" s="217"/>
      <c r="G96" s="223"/>
      <c r="H96" s="226"/>
      <c r="I96" s="208"/>
      <c r="J96" s="229"/>
      <c r="K96" s="208">
        <f t="shared" ca="1" si="86"/>
        <v>0</v>
      </c>
      <c r="L96" s="226"/>
      <c r="M96" s="208"/>
      <c r="N96" s="211"/>
      <c r="O96" s="139">
        <v>5</v>
      </c>
      <c r="P96" s="124"/>
      <c r="Q96" s="125" t="str">
        <f t="shared" si="90"/>
        <v/>
      </c>
      <c r="R96" s="126"/>
      <c r="S96" s="126"/>
      <c r="T96" s="127" t="str">
        <f t="shared" si="87"/>
        <v/>
      </c>
      <c r="U96" s="126"/>
      <c r="V96" s="126"/>
      <c r="W96" s="126"/>
      <c r="X96" s="128" t="str">
        <f t="shared" si="91"/>
        <v/>
      </c>
      <c r="Y96" s="129" t="str">
        <f t="shared" si="78"/>
        <v/>
      </c>
      <c r="Z96" s="130" t="str">
        <f t="shared" si="88"/>
        <v/>
      </c>
      <c r="AA96" s="129" t="str">
        <f t="shared" si="80"/>
        <v/>
      </c>
      <c r="AB96" s="138" t="str">
        <f t="shared" si="92"/>
        <v/>
      </c>
      <c r="AC96" s="131" t="str">
        <f t="shared" ref="AC96:AC97" si="93">IFERROR(IF(OR(AND(Y96="Muy Baja",AA96="Leve"),AND(Y96="Muy Baja",AA96="Menor"),AND(Y96="Baja",AA96="Leve")),"Bajo",IF(OR(AND(Y96="Muy baja",AA96="Moderado"),AND(Y96="Baja",AA96="Menor"),AND(Y96="Baja",AA96="Moderado"),AND(Y96="Media",AA96="Leve"),AND(Y96="Media",AA96="Menor"),AND(Y96="Media",AA96="Moderado"),AND(Y96="Alta",AA96="Leve"),AND(Y96="Alta",AA96="Menor")),"Moderado",IF(OR(AND(Y96="Muy Baja",AA96="Mayor"),AND(Y96="Baja",AA96="Mayor"),AND(Y96="Media",AA96="Mayor"),AND(Y96="Alta",AA96="Moderado"),AND(Y96="Alta",AA96="Mayor"),AND(Y96="Muy Alta",AA96="Leve"),AND(Y96="Muy Alta",AA96="Menor"),AND(Y96="Muy Alta",AA96="Moderado"),AND(Y96="Muy Alta",AA96="Mayor")),"Alto",IF(OR(AND(Y96="Muy Baja",AA96="Catastrófico"),AND(Y96="Baja",AA96="Catastrófico"),AND(Y96="Media",AA96="Catastrófico"),AND(Y96="Alta",AA96="Catastrófico"),AND(Y96="Muy Alta",AA96="Catastrófico")),"Extremo","")))),"")</f>
        <v/>
      </c>
      <c r="AD96" s="132"/>
      <c r="AE96" s="133"/>
      <c r="AF96" s="134"/>
      <c r="AG96" s="135"/>
      <c r="AH96" s="135"/>
      <c r="AI96" s="133"/>
      <c r="AJ96" s="134"/>
    </row>
    <row r="97" spans="1:36" hidden="1" x14ac:dyDescent="0.3">
      <c r="A97" s="215"/>
      <c r="B97" s="218"/>
      <c r="C97" s="218"/>
      <c r="D97" s="218"/>
      <c r="E97" s="221"/>
      <c r="F97" s="218"/>
      <c r="G97" s="224"/>
      <c r="H97" s="227"/>
      <c r="I97" s="209"/>
      <c r="J97" s="230"/>
      <c r="K97" s="209">
        <f t="shared" ca="1" si="86"/>
        <v>0</v>
      </c>
      <c r="L97" s="227"/>
      <c r="M97" s="209"/>
      <c r="N97" s="212"/>
      <c r="O97" s="139">
        <v>6</v>
      </c>
      <c r="P97" s="124"/>
      <c r="Q97" s="125" t="str">
        <f t="shared" si="90"/>
        <v/>
      </c>
      <c r="R97" s="126"/>
      <c r="S97" s="126"/>
      <c r="T97" s="127" t="str">
        <f t="shared" si="87"/>
        <v/>
      </c>
      <c r="U97" s="126"/>
      <c r="V97" s="126"/>
      <c r="W97" s="126"/>
      <c r="X97" s="128" t="str">
        <f t="shared" si="91"/>
        <v/>
      </c>
      <c r="Y97" s="129" t="str">
        <f t="shared" si="78"/>
        <v/>
      </c>
      <c r="Z97" s="130" t="str">
        <f t="shared" si="88"/>
        <v/>
      </c>
      <c r="AA97" s="129" t="str">
        <f t="shared" si="80"/>
        <v/>
      </c>
      <c r="AB97" s="138" t="str">
        <f t="shared" si="92"/>
        <v/>
      </c>
      <c r="AC97" s="131" t="str">
        <f t="shared" si="93"/>
        <v/>
      </c>
      <c r="AD97" s="132"/>
      <c r="AE97" s="133"/>
      <c r="AF97" s="134"/>
      <c r="AG97" s="135"/>
      <c r="AH97" s="135"/>
      <c r="AI97" s="133"/>
      <c r="AJ97" s="134"/>
    </row>
    <row r="98" spans="1:36" hidden="1" x14ac:dyDescent="0.3">
      <c r="A98" s="213">
        <v>4</v>
      </c>
      <c r="B98" s="216"/>
      <c r="C98" s="216"/>
      <c r="D98" s="216"/>
      <c r="E98" s="219"/>
      <c r="F98" s="216"/>
      <c r="G98" s="222"/>
      <c r="H98" s="225" t="str">
        <f>IF(G98&lt;=0,"",IF(G98&lt;=2,"Muy Baja",IF(G98&lt;=24,"Baja",IF(G98&lt;=500,"Media",IF(G98&lt;=5000,"Alta","Muy Alta")))))</f>
        <v/>
      </c>
      <c r="I98" s="207" t="str">
        <f>IF(H98="","",IF(H98="Muy Baja",0.2,IF(H98="Baja",0.4,IF(H98="Media",0.6,IF(H98="Alta",0.8,IF(H98="Muy Alta",1,))))))</f>
        <v/>
      </c>
      <c r="J98" s="228"/>
      <c r="K98" s="207">
        <f>IF(NOT(ISERROR(MATCH(J98,#REF!,0))),#REF!&amp;"Por favor no seleccionar los criterios de impacto(Afectación Económica o presupuestal y Pérdida Reputacional)",J98)</f>
        <v>0</v>
      </c>
      <c r="L98" s="225" t="e">
        <f>IF(OR(K98=#REF!,K98=#REF!),"Leve",IF(OR(K98=#REF!,K98=#REF!),"Menor",IF(OR(K98=#REF!,K98=#REF!),"Moderado",IF(OR(K98=#REF!,K98=#REF!),"Mayor",IF(OR(K98=#REF!,K98=#REF!),"Catastrófico","")))))</f>
        <v>#REF!</v>
      </c>
      <c r="M98" s="207" t="e">
        <f>IF(L98="","",IF(L98="Leve",0.2,IF(L98="Menor",0.4,IF(L98="Moderado",0.6,IF(L98="Mayor",0.8,IF(L98="Catastrófico",1,))))))</f>
        <v>#REF!</v>
      </c>
      <c r="N98" s="210" t="e">
        <f>IF(OR(AND(H98="Muy Baja",L98="Leve"),AND(H98="Muy Baja",L98="Menor"),AND(H98="Baja",L98="Leve")),"Bajo",IF(OR(AND(H98="Muy baja",L98="Moderado"),AND(H98="Baja",L98="Menor"),AND(H98="Baja",L98="Moderado"),AND(H98="Media",L98="Leve"),AND(H98="Media",L98="Menor"),AND(H98="Media",L98="Moderado"),AND(H98="Alta",L98="Leve"),AND(H98="Alta",L98="Menor")),"Moderado",IF(OR(AND(H98="Muy Baja",L98="Mayor"),AND(H98="Baja",L98="Mayor"),AND(H98="Media",L98="Mayor"),AND(H98="Alta",L98="Moderado"),AND(H98="Alta",L98="Mayor"),AND(H98="Muy Alta",L98="Leve"),AND(H98="Muy Alta",L98="Menor"),AND(H98="Muy Alta",L98="Moderado"),AND(H98="Muy Alta",L98="Mayor")),"Alto",IF(OR(AND(H98="Muy Baja",L98="Catastrófico"),AND(H98="Baja",L98="Catastrófico"),AND(H98="Media",L98="Catastrófico"),AND(H98="Alta",L98="Catastrófico"),AND(H98="Muy Alta",L98="Catastrófico")),"Extremo",""))))</f>
        <v>#REF!</v>
      </c>
      <c r="O98" s="139">
        <v>1</v>
      </c>
      <c r="P98" s="124"/>
      <c r="Q98" s="125" t="str">
        <f>IF(OR(R98="Preventivo",R98="Detectivo"),"Probabilidad",IF(R98="Correctivo","Impacto",""))</f>
        <v/>
      </c>
      <c r="R98" s="126"/>
      <c r="S98" s="126"/>
      <c r="T98" s="127" t="str">
        <f>IF(AND(R98="Preventivo",S98="Automático"),"50%",IF(AND(R98="Preventivo",S98="Manual"),"40%",IF(AND(R98="Detectivo",S98="Automático"),"40%",IF(AND(R98="Detectivo",S98="Manual"),"30%",IF(AND(R98="Correctivo",S98="Automático"),"35%",IF(AND(R98="Correctivo",S98="Manual"),"25%",""))))))</f>
        <v/>
      </c>
      <c r="U98" s="126"/>
      <c r="V98" s="126"/>
      <c r="W98" s="126"/>
      <c r="X98" s="128" t="str">
        <f>IFERROR(IF(Q98="Probabilidad",(I98-(+I98*T98)),IF(Q98="Impacto",I98,"")),"")</f>
        <v/>
      </c>
      <c r="Y98" s="129" t="str">
        <f>IFERROR(IF(X98="","",IF(X98&lt;=0.2,"Muy Baja",IF(X98&lt;=0.4,"Baja",IF(X98&lt;=0.6,"Media",IF(X98&lt;=0.8,"Alta","Muy Alta"))))),"")</f>
        <v/>
      </c>
      <c r="Z98" s="130" t="str">
        <f>+X98</f>
        <v/>
      </c>
      <c r="AA98" s="129" t="str">
        <f>IFERROR(IF(AB98="","",IF(AB98&lt;=0.2,"Leve",IF(AB98&lt;=0.4,"Menor",IF(AB98&lt;=0.6,"Moderado",IF(AB98&lt;=0.8,"Mayor","Catastrófico"))))),"")</f>
        <v/>
      </c>
      <c r="AB98" s="138" t="str">
        <f>IFERROR(IF(Q98="Impacto",(M98-(+M98*T98)),IF(Q98="Probabilidad",M98,"")),"")</f>
        <v/>
      </c>
      <c r="AC98" s="131" t="str">
        <f>IFERROR(IF(OR(AND(Y98="Muy Baja",AA98="Leve"),AND(Y98="Muy Baja",AA98="Menor"),AND(Y98="Baja",AA98="Leve")),"Bajo",IF(OR(AND(Y98="Muy baja",AA98="Moderado"),AND(Y98="Baja",AA98="Menor"),AND(Y98="Baja",AA98="Moderado"),AND(Y98="Media",AA98="Leve"),AND(Y98="Media",AA98="Menor"),AND(Y98="Media",AA98="Moderado"),AND(Y98="Alta",AA98="Leve"),AND(Y98="Alta",AA98="Menor")),"Moderado",IF(OR(AND(Y98="Muy Baja",AA98="Mayor"),AND(Y98="Baja",AA98="Mayor"),AND(Y98="Media",AA98="Mayor"),AND(Y98="Alta",AA98="Moderado"),AND(Y98="Alta",AA98="Mayor"),AND(Y98="Muy Alta",AA98="Leve"),AND(Y98="Muy Alta",AA98="Menor"),AND(Y98="Muy Alta",AA98="Moderado"),AND(Y98="Muy Alta",AA98="Mayor")),"Alto",IF(OR(AND(Y98="Muy Baja",AA98="Catastrófico"),AND(Y98="Baja",AA98="Catastrófico"),AND(Y98="Media",AA98="Catastrófico"),AND(Y98="Alta",AA98="Catastrófico"),AND(Y98="Muy Alta",AA98="Catastrófico")),"Extremo","")))),"")</f>
        <v/>
      </c>
      <c r="AD98" s="132"/>
      <c r="AE98" s="133"/>
      <c r="AF98" s="134"/>
      <c r="AG98" s="135"/>
      <c r="AH98" s="135"/>
      <c r="AI98" s="133"/>
      <c r="AJ98" s="134"/>
    </row>
    <row r="99" spans="1:36" hidden="1" x14ac:dyDescent="0.3">
      <c r="A99" s="214"/>
      <c r="B99" s="217"/>
      <c r="C99" s="217"/>
      <c r="D99" s="217"/>
      <c r="E99" s="220"/>
      <c r="F99" s="217"/>
      <c r="G99" s="223"/>
      <c r="H99" s="226"/>
      <c r="I99" s="208"/>
      <c r="J99" s="229"/>
      <c r="K99" s="208">
        <f t="shared" ref="K99:K103" ca="1" si="94">IF(NOT(ISERROR(MATCH(J99,_xlfn.ANCHORARRAY(E110),0))),I112&amp;"Por favor no seleccionar los criterios de impacto",J99)</f>
        <v>0</v>
      </c>
      <c r="L99" s="226"/>
      <c r="M99" s="208"/>
      <c r="N99" s="211"/>
      <c r="O99" s="139">
        <v>2</v>
      </c>
      <c r="P99" s="124"/>
      <c r="Q99" s="125" t="str">
        <f>IF(OR(R99="Preventivo",R99="Detectivo"),"Probabilidad",IF(R99="Correctivo","Impacto",""))</f>
        <v/>
      </c>
      <c r="R99" s="126"/>
      <c r="S99" s="126"/>
      <c r="T99" s="127" t="str">
        <f t="shared" ref="T99:T103" si="95">IF(AND(R99="Preventivo",S99="Automático"),"50%",IF(AND(R99="Preventivo",S99="Manual"),"40%",IF(AND(R99="Detectivo",S99="Automático"),"40%",IF(AND(R99="Detectivo",S99="Manual"),"30%",IF(AND(R99="Correctivo",S99="Automático"),"35%",IF(AND(R99="Correctivo",S99="Manual"),"25%",""))))))</f>
        <v/>
      </c>
      <c r="U99" s="126"/>
      <c r="V99" s="126"/>
      <c r="W99" s="126"/>
      <c r="X99" s="128" t="str">
        <f>IFERROR(IF(AND(Q98="Probabilidad",Q99="Probabilidad"),(Z98-(+Z98*T99)),IF(Q99="Probabilidad",(I98-(+I98*T99)),IF(Q99="Impacto",Z98,""))),"")</f>
        <v/>
      </c>
      <c r="Y99" s="129" t="str">
        <f t="shared" si="78"/>
        <v/>
      </c>
      <c r="Z99" s="130" t="str">
        <f t="shared" ref="Z99:Z103" si="96">+X99</f>
        <v/>
      </c>
      <c r="AA99" s="129" t="str">
        <f t="shared" si="80"/>
        <v/>
      </c>
      <c r="AB99" s="138" t="str">
        <f>IFERROR(IF(AND(Q98="Impacto",Q99="Impacto"),(AB98-(+AB98*T99)),IF(Q99="Impacto",(M98-(+M98*T99)),IF(Q99="Probabilidad",AB98,""))),"")</f>
        <v/>
      </c>
      <c r="AC99" s="131" t="str">
        <f t="shared" ref="AC99:AC100" si="97">IFERROR(IF(OR(AND(Y99="Muy Baja",AA99="Leve"),AND(Y99="Muy Baja",AA99="Menor"),AND(Y99="Baja",AA99="Leve")),"Bajo",IF(OR(AND(Y99="Muy baja",AA99="Moderado"),AND(Y99="Baja",AA99="Menor"),AND(Y99="Baja",AA99="Moderado"),AND(Y99="Media",AA99="Leve"),AND(Y99="Media",AA99="Menor"),AND(Y99="Media",AA99="Moderado"),AND(Y99="Alta",AA99="Leve"),AND(Y99="Alta",AA99="Menor")),"Moderado",IF(OR(AND(Y99="Muy Baja",AA99="Mayor"),AND(Y99="Baja",AA99="Mayor"),AND(Y99="Media",AA99="Mayor"),AND(Y99="Alta",AA99="Moderado"),AND(Y99="Alta",AA99="Mayor"),AND(Y99="Muy Alta",AA99="Leve"),AND(Y99="Muy Alta",AA99="Menor"),AND(Y99="Muy Alta",AA99="Moderado"),AND(Y99="Muy Alta",AA99="Mayor")),"Alto",IF(OR(AND(Y99="Muy Baja",AA99="Catastrófico"),AND(Y99="Baja",AA99="Catastrófico"),AND(Y99="Media",AA99="Catastrófico"),AND(Y99="Alta",AA99="Catastrófico"),AND(Y99="Muy Alta",AA99="Catastrófico")),"Extremo","")))),"")</f>
        <v/>
      </c>
      <c r="AD99" s="132"/>
      <c r="AE99" s="133"/>
      <c r="AF99" s="134"/>
      <c r="AG99" s="135"/>
      <c r="AH99" s="135"/>
      <c r="AI99" s="133"/>
      <c r="AJ99" s="134"/>
    </row>
    <row r="100" spans="1:36" hidden="1" x14ac:dyDescent="0.3">
      <c r="A100" s="214"/>
      <c r="B100" s="217"/>
      <c r="C100" s="217"/>
      <c r="D100" s="217"/>
      <c r="E100" s="220"/>
      <c r="F100" s="217"/>
      <c r="G100" s="223"/>
      <c r="H100" s="226"/>
      <c r="I100" s="208"/>
      <c r="J100" s="229"/>
      <c r="K100" s="208">
        <f t="shared" ca="1" si="94"/>
        <v>0</v>
      </c>
      <c r="L100" s="226"/>
      <c r="M100" s="208"/>
      <c r="N100" s="211"/>
      <c r="O100" s="139">
        <v>3</v>
      </c>
      <c r="P100" s="136"/>
      <c r="Q100" s="125" t="str">
        <f>IF(OR(R100="Preventivo",R100="Detectivo"),"Probabilidad",IF(R100="Correctivo","Impacto",""))</f>
        <v/>
      </c>
      <c r="R100" s="126"/>
      <c r="S100" s="126"/>
      <c r="T100" s="127" t="str">
        <f t="shared" si="95"/>
        <v/>
      </c>
      <c r="U100" s="126"/>
      <c r="V100" s="126"/>
      <c r="W100" s="126"/>
      <c r="X100" s="128" t="str">
        <f>IFERROR(IF(AND(Q99="Probabilidad",Q100="Probabilidad"),(Z99-(+Z99*T100)),IF(AND(Q99="Impacto",Q100="Probabilidad"),(Z98-(+Z98*T100)),IF(Q100="Impacto",Z99,""))),"")</f>
        <v/>
      </c>
      <c r="Y100" s="129" t="str">
        <f t="shared" si="78"/>
        <v/>
      </c>
      <c r="Z100" s="130" t="str">
        <f t="shared" si="96"/>
        <v/>
      </c>
      <c r="AA100" s="129" t="str">
        <f t="shared" si="80"/>
        <v/>
      </c>
      <c r="AB100" s="138" t="str">
        <f>IFERROR(IF(AND(Q99="Impacto",Q100="Impacto"),(AB99-(+AB99*T100)),IF(AND(Q99="Probabilidad",Q100="Impacto"),(AB98-(+AB98*T100)),IF(Q100="Probabilidad",AB99,""))),"")</f>
        <v/>
      </c>
      <c r="AC100" s="131" t="str">
        <f t="shared" si="97"/>
        <v/>
      </c>
      <c r="AD100" s="132"/>
      <c r="AE100" s="133"/>
      <c r="AF100" s="134"/>
      <c r="AG100" s="135"/>
      <c r="AH100" s="135"/>
      <c r="AI100" s="133"/>
      <c r="AJ100" s="134"/>
    </row>
    <row r="101" spans="1:36" hidden="1" x14ac:dyDescent="0.3">
      <c r="A101" s="214"/>
      <c r="B101" s="217"/>
      <c r="C101" s="217"/>
      <c r="D101" s="217"/>
      <c r="E101" s="220"/>
      <c r="F101" s="217"/>
      <c r="G101" s="223"/>
      <c r="H101" s="226"/>
      <c r="I101" s="208"/>
      <c r="J101" s="229"/>
      <c r="K101" s="208">
        <f t="shared" ca="1" si="94"/>
        <v>0</v>
      </c>
      <c r="L101" s="226"/>
      <c r="M101" s="208"/>
      <c r="N101" s="211"/>
      <c r="O101" s="139">
        <v>4</v>
      </c>
      <c r="P101" s="124"/>
      <c r="Q101" s="125" t="str">
        <f t="shared" ref="Q101:Q103" si="98">IF(OR(R101="Preventivo",R101="Detectivo"),"Probabilidad",IF(R101="Correctivo","Impacto",""))</f>
        <v/>
      </c>
      <c r="R101" s="126"/>
      <c r="S101" s="126"/>
      <c r="T101" s="127" t="str">
        <f t="shared" si="95"/>
        <v/>
      </c>
      <c r="U101" s="126"/>
      <c r="V101" s="126"/>
      <c r="W101" s="126"/>
      <c r="X101" s="128" t="str">
        <f t="shared" ref="X101:X103" si="99">IFERROR(IF(AND(Q100="Probabilidad",Q101="Probabilidad"),(Z100-(+Z100*T101)),IF(AND(Q100="Impacto",Q101="Probabilidad"),(Z99-(+Z99*T101)),IF(Q101="Impacto",Z100,""))),"")</f>
        <v/>
      </c>
      <c r="Y101" s="129" t="str">
        <f t="shared" si="78"/>
        <v/>
      </c>
      <c r="Z101" s="130" t="str">
        <f t="shared" si="96"/>
        <v/>
      </c>
      <c r="AA101" s="129" t="str">
        <f t="shared" si="80"/>
        <v/>
      </c>
      <c r="AB101" s="138" t="str">
        <f t="shared" ref="AB101:AB103" si="100">IFERROR(IF(AND(Q100="Impacto",Q101="Impacto"),(AB100-(+AB100*T101)),IF(AND(Q100="Probabilidad",Q101="Impacto"),(AB99-(+AB99*T101)),IF(Q101="Probabilidad",AB100,""))),"")</f>
        <v/>
      </c>
      <c r="AC101" s="131" t="str">
        <f>IFERROR(IF(OR(AND(Y101="Muy Baja",AA101="Leve"),AND(Y101="Muy Baja",AA101="Menor"),AND(Y101="Baja",AA101="Leve")),"Bajo",IF(OR(AND(Y101="Muy baja",AA101="Moderado"),AND(Y101="Baja",AA101="Menor"),AND(Y101="Baja",AA101="Moderado"),AND(Y101="Media",AA101="Leve"),AND(Y101="Media",AA101="Menor"),AND(Y101="Media",AA101="Moderado"),AND(Y101="Alta",AA101="Leve"),AND(Y101="Alta",AA101="Menor")),"Moderado",IF(OR(AND(Y101="Muy Baja",AA101="Mayor"),AND(Y101="Baja",AA101="Mayor"),AND(Y101="Media",AA101="Mayor"),AND(Y101="Alta",AA101="Moderado"),AND(Y101="Alta",AA101="Mayor"),AND(Y101="Muy Alta",AA101="Leve"),AND(Y101="Muy Alta",AA101="Menor"),AND(Y101="Muy Alta",AA101="Moderado"),AND(Y101="Muy Alta",AA101="Mayor")),"Alto",IF(OR(AND(Y101="Muy Baja",AA101="Catastrófico"),AND(Y101="Baja",AA101="Catastrófico"),AND(Y101="Media",AA101="Catastrófico"),AND(Y101="Alta",AA101="Catastrófico"),AND(Y101="Muy Alta",AA101="Catastrófico")),"Extremo","")))),"")</f>
        <v/>
      </c>
      <c r="AD101" s="132"/>
      <c r="AE101" s="133"/>
      <c r="AF101" s="134"/>
      <c r="AG101" s="135"/>
      <c r="AH101" s="135"/>
      <c r="AI101" s="133"/>
      <c r="AJ101" s="134"/>
    </row>
    <row r="102" spans="1:36" hidden="1" x14ac:dyDescent="0.3">
      <c r="A102" s="214"/>
      <c r="B102" s="217"/>
      <c r="C102" s="217"/>
      <c r="D102" s="217"/>
      <c r="E102" s="220"/>
      <c r="F102" s="217"/>
      <c r="G102" s="223"/>
      <c r="H102" s="226"/>
      <c r="I102" s="208"/>
      <c r="J102" s="229"/>
      <c r="K102" s="208">
        <f t="shared" ca="1" si="94"/>
        <v>0</v>
      </c>
      <c r="L102" s="226"/>
      <c r="M102" s="208"/>
      <c r="N102" s="211"/>
      <c r="O102" s="139">
        <v>5</v>
      </c>
      <c r="P102" s="124"/>
      <c r="Q102" s="125" t="str">
        <f t="shared" si="98"/>
        <v/>
      </c>
      <c r="R102" s="126"/>
      <c r="S102" s="126"/>
      <c r="T102" s="127" t="str">
        <f t="shared" si="95"/>
        <v/>
      </c>
      <c r="U102" s="126"/>
      <c r="V102" s="126"/>
      <c r="W102" s="126"/>
      <c r="X102" s="137" t="str">
        <f t="shared" si="99"/>
        <v/>
      </c>
      <c r="Y102" s="129" t="str">
        <f>IFERROR(IF(X102="","",IF(X102&lt;=0.2,"Muy Baja",IF(X102&lt;=0.4,"Baja",IF(X102&lt;=0.6,"Media",IF(X102&lt;=0.8,"Alta","Muy Alta"))))),"")</f>
        <v/>
      </c>
      <c r="Z102" s="130" t="str">
        <f t="shared" si="96"/>
        <v/>
      </c>
      <c r="AA102" s="129" t="str">
        <f t="shared" si="80"/>
        <v/>
      </c>
      <c r="AB102" s="138" t="str">
        <f t="shared" si="100"/>
        <v/>
      </c>
      <c r="AC102" s="131" t="str">
        <f t="shared" ref="AC102:AC103" si="101">IFERROR(IF(OR(AND(Y102="Muy Baja",AA102="Leve"),AND(Y102="Muy Baja",AA102="Menor"),AND(Y102="Baja",AA102="Leve")),"Bajo",IF(OR(AND(Y102="Muy baja",AA102="Moderado"),AND(Y102="Baja",AA102="Menor"),AND(Y102="Baja",AA102="Moderado"),AND(Y102="Media",AA102="Leve"),AND(Y102="Media",AA102="Menor"),AND(Y102="Media",AA102="Moderado"),AND(Y102="Alta",AA102="Leve"),AND(Y102="Alta",AA102="Menor")),"Moderado",IF(OR(AND(Y102="Muy Baja",AA102="Mayor"),AND(Y102="Baja",AA102="Mayor"),AND(Y102="Media",AA102="Mayor"),AND(Y102="Alta",AA102="Moderado"),AND(Y102="Alta",AA102="Mayor"),AND(Y102="Muy Alta",AA102="Leve"),AND(Y102="Muy Alta",AA102="Menor"),AND(Y102="Muy Alta",AA102="Moderado"),AND(Y102="Muy Alta",AA102="Mayor")),"Alto",IF(OR(AND(Y102="Muy Baja",AA102="Catastrófico"),AND(Y102="Baja",AA102="Catastrófico"),AND(Y102="Media",AA102="Catastrófico"),AND(Y102="Alta",AA102="Catastrófico"),AND(Y102="Muy Alta",AA102="Catastrófico")),"Extremo","")))),"")</f>
        <v/>
      </c>
      <c r="AD102" s="132"/>
      <c r="AE102" s="133"/>
      <c r="AF102" s="134"/>
      <c r="AG102" s="135"/>
      <c r="AH102" s="135"/>
      <c r="AI102" s="133"/>
      <c r="AJ102" s="134"/>
    </row>
    <row r="103" spans="1:36" hidden="1" x14ac:dyDescent="0.3">
      <c r="A103" s="215"/>
      <c r="B103" s="218"/>
      <c r="C103" s="218"/>
      <c r="D103" s="218"/>
      <c r="E103" s="221"/>
      <c r="F103" s="218"/>
      <c r="G103" s="224"/>
      <c r="H103" s="227"/>
      <c r="I103" s="209"/>
      <c r="J103" s="230"/>
      <c r="K103" s="209">
        <f t="shared" ca="1" si="94"/>
        <v>0</v>
      </c>
      <c r="L103" s="227"/>
      <c r="M103" s="209"/>
      <c r="N103" s="212"/>
      <c r="O103" s="139">
        <v>6</v>
      </c>
      <c r="P103" s="124"/>
      <c r="Q103" s="125" t="str">
        <f t="shared" si="98"/>
        <v/>
      </c>
      <c r="R103" s="126"/>
      <c r="S103" s="126"/>
      <c r="T103" s="127" t="str">
        <f t="shared" si="95"/>
        <v/>
      </c>
      <c r="U103" s="126"/>
      <c r="V103" s="126"/>
      <c r="W103" s="126"/>
      <c r="X103" s="128" t="str">
        <f t="shared" si="99"/>
        <v/>
      </c>
      <c r="Y103" s="129" t="str">
        <f t="shared" si="78"/>
        <v/>
      </c>
      <c r="Z103" s="130" t="str">
        <f t="shared" si="96"/>
        <v/>
      </c>
      <c r="AA103" s="129" t="str">
        <f t="shared" si="80"/>
        <v/>
      </c>
      <c r="AB103" s="138" t="str">
        <f t="shared" si="100"/>
        <v/>
      </c>
      <c r="AC103" s="131" t="str">
        <f t="shared" si="101"/>
        <v/>
      </c>
      <c r="AD103" s="132"/>
      <c r="AE103" s="133"/>
      <c r="AF103" s="134"/>
      <c r="AG103" s="135"/>
      <c r="AH103" s="135"/>
      <c r="AI103" s="133"/>
      <c r="AJ103" s="134"/>
    </row>
    <row r="104" spans="1:36" hidden="1" x14ac:dyDescent="0.3">
      <c r="A104" s="213">
        <v>5</v>
      </c>
      <c r="B104" s="216"/>
      <c r="C104" s="216"/>
      <c r="D104" s="216"/>
      <c r="E104" s="219"/>
      <c r="F104" s="216"/>
      <c r="G104" s="222"/>
      <c r="H104" s="225" t="str">
        <f>IF(G104&lt;=0,"",IF(G104&lt;=2,"Muy Baja",IF(G104&lt;=24,"Baja",IF(G104&lt;=500,"Media",IF(G104&lt;=5000,"Alta","Muy Alta")))))</f>
        <v/>
      </c>
      <c r="I104" s="207" t="str">
        <f>IF(H104="","",IF(H104="Muy Baja",0.2,IF(H104="Baja",0.4,IF(H104="Media",0.6,IF(H104="Alta",0.8,IF(H104="Muy Alta",1,))))))</f>
        <v/>
      </c>
      <c r="J104" s="228"/>
      <c r="K104" s="207">
        <f>IF(NOT(ISERROR(MATCH(J104,#REF!,0))),#REF!&amp;"Por favor no seleccionar los criterios de impacto(Afectación Económica o presupuestal y Pérdida Reputacional)",J104)</f>
        <v>0</v>
      </c>
      <c r="L104" s="225" t="e">
        <f>IF(OR(K104=#REF!,K104=#REF!),"Leve",IF(OR(K104=#REF!,K104=#REF!),"Menor",IF(OR(K104=#REF!,K104=#REF!),"Moderado",IF(OR(K104=#REF!,K104=#REF!),"Mayor",IF(OR(K104=#REF!,K104=#REF!),"Catastrófico","")))))</f>
        <v>#REF!</v>
      </c>
      <c r="M104" s="207" t="e">
        <f>IF(L104="","",IF(L104="Leve",0.2,IF(L104="Menor",0.4,IF(L104="Moderado",0.6,IF(L104="Mayor",0.8,IF(L104="Catastrófico",1,))))))</f>
        <v>#REF!</v>
      </c>
      <c r="N104" s="210" t="e">
        <f>IF(OR(AND(H104="Muy Baja",L104="Leve"),AND(H104="Muy Baja",L104="Menor"),AND(H104="Baja",L104="Leve")),"Bajo",IF(OR(AND(H104="Muy baja",L104="Moderado"),AND(H104="Baja",L104="Menor"),AND(H104="Baja",L104="Moderado"),AND(H104="Media",L104="Leve"),AND(H104="Media",L104="Menor"),AND(H104="Media",L104="Moderado"),AND(H104="Alta",L104="Leve"),AND(H104="Alta",L104="Menor")),"Moderado",IF(OR(AND(H104="Muy Baja",L104="Mayor"),AND(H104="Baja",L104="Mayor"),AND(H104="Media",L104="Mayor"),AND(H104="Alta",L104="Moderado"),AND(H104="Alta",L104="Mayor"),AND(H104="Muy Alta",L104="Leve"),AND(H104="Muy Alta",L104="Menor"),AND(H104="Muy Alta",L104="Moderado"),AND(H104="Muy Alta",L104="Mayor")),"Alto",IF(OR(AND(H104="Muy Baja",L104="Catastrófico"),AND(H104="Baja",L104="Catastrófico"),AND(H104="Media",L104="Catastrófico"),AND(H104="Alta",L104="Catastrófico"),AND(H104="Muy Alta",L104="Catastrófico")),"Extremo",""))))</f>
        <v>#REF!</v>
      </c>
      <c r="O104" s="139">
        <v>1</v>
      </c>
      <c r="P104" s="124"/>
      <c r="Q104" s="125" t="str">
        <f>IF(OR(R104="Preventivo",R104="Detectivo"),"Probabilidad",IF(R104="Correctivo","Impacto",""))</f>
        <v/>
      </c>
      <c r="R104" s="126"/>
      <c r="S104" s="126"/>
      <c r="T104" s="127" t="str">
        <f>IF(AND(R104="Preventivo",S104="Automático"),"50%",IF(AND(R104="Preventivo",S104="Manual"),"40%",IF(AND(R104="Detectivo",S104="Automático"),"40%",IF(AND(R104="Detectivo",S104="Manual"),"30%",IF(AND(R104="Correctivo",S104="Automático"),"35%",IF(AND(R104="Correctivo",S104="Manual"),"25%",""))))))</f>
        <v/>
      </c>
      <c r="U104" s="126"/>
      <c r="V104" s="126"/>
      <c r="W104" s="126"/>
      <c r="X104" s="128" t="str">
        <f>IFERROR(IF(Q104="Probabilidad",(I104-(+I104*T104)),IF(Q104="Impacto",I104,"")),"")</f>
        <v/>
      </c>
      <c r="Y104" s="129" t="str">
        <f>IFERROR(IF(X104="","",IF(X104&lt;=0.2,"Muy Baja",IF(X104&lt;=0.4,"Baja",IF(X104&lt;=0.6,"Media",IF(X104&lt;=0.8,"Alta","Muy Alta"))))),"")</f>
        <v/>
      </c>
      <c r="Z104" s="130" t="str">
        <f>+X104</f>
        <v/>
      </c>
      <c r="AA104" s="129" t="str">
        <f>IFERROR(IF(AB104="","",IF(AB104&lt;=0.2,"Leve",IF(AB104&lt;=0.4,"Menor",IF(AB104&lt;=0.6,"Moderado",IF(AB104&lt;=0.8,"Mayor","Catastrófico"))))),"")</f>
        <v/>
      </c>
      <c r="AB104" s="138" t="str">
        <f>IFERROR(IF(Q104="Impacto",(M104-(+M104*T104)),IF(Q104="Probabilidad",M104,"")),"")</f>
        <v/>
      </c>
      <c r="AC104" s="131" t="str">
        <f>IFERROR(IF(OR(AND(Y104="Muy Baja",AA104="Leve"),AND(Y104="Muy Baja",AA104="Menor"),AND(Y104="Baja",AA104="Leve")),"Bajo",IF(OR(AND(Y104="Muy baja",AA104="Moderado"),AND(Y104="Baja",AA104="Menor"),AND(Y104="Baja",AA104="Moderado"),AND(Y104="Media",AA104="Leve"),AND(Y104="Media",AA104="Menor"),AND(Y104="Media",AA104="Moderado"),AND(Y104="Alta",AA104="Leve"),AND(Y104="Alta",AA104="Menor")),"Moderado",IF(OR(AND(Y104="Muy Baja",AA104="Mayor"),AND(Y104="Baja",AA104="Mayor"),AND(Y104="Media",AA104="Mayor"),AND(Y104="Alta",AA104="Moderado"),AND(Y104="Alta",AA104="Mayor"),AND(Y104="Muy Alta",AA104="Leve"),AND(Y104="Muy Alta",AA104="Menor"),AND(Y104="Muy Alta",AA104="Moderado"),AND(Y104="Muy Alta",AA104="Mayor")),"Alto",IF(OR(AND(Y104="Muy Baja",AA104="Catastrófico"),AND(Y104="Baja",AA104="Catastrófico"),AND(Y104="Media",AA104="Catastrófico"),AND(Y104="Alta",AA104="Catastrófico"),AND(Y104="Muy Alta",AA104="Catastrófico")),"Extremo","")))),"")</f>
        <v/>
      </c>
      <c r="AD104" s="132"/>
      <c r="AE104" s="133"/>
      <c r="AF104" s="134"/>
      <c r="AG104" s="135"/>
      <c r="AH104" s="135"/>
      <c r="AI104" s="133"/>
      <c r="AJ104" s="134"/>
    </row>
    <row r="105" spans="1:36" hidden="1" x14ac:dyDescent="0.3">
      <c r="A105" s="214"/>
      <c r="B105" s="217"/>
      <c r="C105" s="217"/>
      <c r="D105" s="217"/>
      <c r="E105" s="220"/>
      <c r="F105" s="217"/>
      <c r="G105" s="223"/>
      <c r="H105" s="226"/>
      <c r="I105" s="208"/>
      <c r="J105" s="229"/>
      <c r="K105" s="208">
        <f t="shared" ref="K105:K109" ca="1" si="102">IF(NOT(ISERROR(MATCH(J105,_xlfn.ANCHORARRAY(E116),0))),I118&amp;"Por favor no seleccionar los criterios de impacto",J105)</f>
        <v>0</v>
      </c>
      <c r="L105" s="226"/>
      <c r="M105" s="208"/>
      <c r="N105" s="211"/>
      <c r="O105" s="139">
        <v>2</v>
      </c>
      <c r="P105" s="124"/>
      <c r="Q105" s="125" t="str">
        <f>IF(OR(R105="Preventivo",R105="Detectivo"),"Probabilidad",IF(R105="Correctivo","Impacto",""))</f>
        <v/>
      </c>
      <c r="R105" s="126"/>
      <c r="S105" s="126"/>
      <c r="T105" s="127" t="str">
        <f t="shared" ref="T105:T109" si="103">IF(AND(R105="Preventivo",S105="Automático"),"50%",IF(AND(R105="Preventivo",S105="Manual"),"40%",IF(AND(R105="Detectivo",S105="Automático"),"40%",IF(AND(R105="Detectivo",S105="Manual"),"30%",IF(AND(R105="Correctivo",S105="Automático"),"35%",IF(AND(R105="Correctivo",S105="Manual"),"25%",""))))))</f>
        <v/>
      </c>
      <c r="U105" s="126"/>
      <c r="V105" s="126"/>
      <c r="W105" s="126"/>
      <c r="X105" s="128" t="str">
        <f>IFERROR(IF(AND(Q104="Probabilidad",Q105="Probabilidad"),(Z104-(+Z104*T105)),IF(Q105="Probabilidad",(I104-(+I104*T105)),IF(Q105="Impacto",Z104,""))),"")</f>
        <v/>
      </c>
      <c r="Y105" s="129" t="str">
        <f t="shared" si="78"/>
        <v/>
      </c>
      <c r="Z105" s="130" t="str">
        <f t="shared" ref="Z105:Z109" si="104">+X105</f>
        <v/>
      </c>
      <c r="AA105" s="129" t="str">
        <f t="shared" si="80"/>
        <v/>
      </c>
      <c r="AB105" s="138" t="str">
        <f>IFERROR(IF(AND(Q104="Impacto",Q105="Impacto"),(AB104-(+AB104*T105)),IF(Q105="Impacto",(M104-(+M104*T105)),IF(Q105="Probabilidad",AB104,""))),"")</f>
        <v/>
      </c>
      <c r="AC105" s="131" t="str">
        <f t="shared" ref="AC105:AC106" si="105">IFERROR(IF(OR(AND(Y105="Muy Baja",AA105="Leve"),AND(Y105="Muy Baja",AA105="Menor"),AND(Y105="Baja",AA105="Leve")),"Bajo",IF(OR(AND(Y105="Muy baja",AA105="Moderado"),AND(Y105="Baja",AA105="Menor"),AND(Y105="Baja",AA105="Moderado"),AND(Y105="Media",AA105="Leve"),AND(Y105="Media",AA105="Menor"),AND(Y105="Media",AA105="Moderado"),AND(Y105="Alta",AA105="Leve"),AND(Y105="Alta",AA105="Menor")),"Moderado",IF(OR(AND(Y105="Muy Baja",AA105="Mayor"),AND(Y105="Baja",AA105="Mayor"),AND(Y105="Media",AA105="Mayor"),AND(Y105="Alta",AA105="Moderado"),AND(Y105="Alta",AA105="Mayor"),AND(Y105="Muy Alta",AA105="Leve"),AND(Y105="Muy Alta",AA105="Menor"),AND(Y105="Muy Alta",AA105="Moderado"),AND(Y105="Muy Alta",AA105="Mayor")),"Alto",IF(OR(AND(Y105="Muy Baja",AA105="Catastrófico"),AND(Y105="Baja",AA105="Catastrófico"),AND(Y105="Media",AA105="Catastrófico"),AND(Y105="Alta",AA105="Catastrófico"),AND(Y105="Muy Alta",AA105="Catastrófico")),"Extremo","")))),"")</f>
        <v/>
      </c>
      <c r="AD105" s="132"/>
      <c r="AE105" s="133"/>
      <c r="AF105" s="134"/>
      <c r="AG105" s="135"/>
      <c r="AH105" s="135"/>
      <c r="AI105" s="133"/>
      <c r="AJ105" s="134"/>
    </row>
    <row r="106" spans="1:36" hidden="1" x14ac:dyDescent="0.3">
      <c r="A106" s="214"/>
      <c r="B106" s="217"/>
      <c r="C106" s="217"/>
      <c r="D106" s="217"/>
      <c r="E106" s="220"/>
      <c r="F106" s="217"/>
      <c r="G106" s="223"/>
      <c r="H106" s="226"/>
      <c r="I106" s="208"/>
      <c r="J106" s="229"/>
      <c r="K106" s="208">
        <f t="shared" ca="1" si="102"/>
        <v>0</v>
      </c>
      <c r="L106" s="226"/>
      <c r="M106" s="208"/>
      <c r="N106" s="211"/>
      <c r="O106" s="139">
        <v>3</v>
      </c>
      <c r="P106" s="136"/>
      <c r="Q106" s="125" t="str">
        <f>IF(OR(R106="Preventivo",R106="Detectivo"),"Probabilidad",IF(R106="Correctivo","Impacto",""))</f>
        <v/>
      </c>
      <c r="R106" s="126"/>
      <c r="S106" s="126"/>
      <c r="T106" s="127" t="str">
        <f t="shared" si="103"/>
        <v/>
      </c>
      <c r="U106" s="126"/>
      <c r="V106" s="126"/>
      <c r="W106" s="126"/>
      <c r="X106" s="128" t="str">
        <f>IFERROR(IF(AND(Q105="Probabilidad",Q106="Probabilidad"),(Z105-(+Z105*T106)),IF(AND(Q105="Impacto",Q106="Probabilidad"),(Z104-(+Z104*T106)),IF(Q106="Impacto",Z105,""))),"")</f>
        <v/>
      </c>
      <c r="Y106" s="129" t="str">
        <f t="shared" si="78"/>
        <v/>
      </c>
      <c r="Z106" s="130" t="str">
        <f t="shared" si="104"/>
        <v/>
      </c>
      <c r="AA106" s="129" t="str">
        <f t="shared" si="80"/>
        <v/>
      </c>
      <c r="AB106" s="138" t="str">
        <f>IFERROR(IF(AND(Q105="Impacto",Q106="Impacto"),(AB105-(+AB105*T106)),IF(AND(Q105="Probabilidad",Q106="Impacto"),(AB104-(+AB104*T106)),IF(Q106="Probabilidad",AB105,""))),"")</f>
        <v/>
      </c>
      <c r="AC106" s="131" t="str">
        <f t="shared" si="105"/>
        <v/>
      </c>
      <c r="AD106" s="132"/>
      <c r="AE106" s="133"/>
      <c r="AF106" s="134"/>
      <c r="AG106" s="135"/>
      <c r="AH106" s="135"/>
      <c r="AI106" s="133"/>
      <c r="AJ106" s="134"/>
    </row>
    <row r="107" spans="1:36" hidden="1" x14ac:dyDescent="0.3">
      <c r="A107" s="214"/>
      <c r="B107" s="217"/>
      <c r="C107" s="217"/>
      <c r="D107" s="217"/>
      <c r="E107" s="220"/>
      <c r="F107" s="217"/>
      <c r="G107" s="223"/>
      <c r="H107" s="226"/>
      <c r="I107" s="208"/>
      <c r="J107" s="229"/>
      <c r="K107" s="208">
        <f t="shared" ca="1" si="102"/>
        <v>0</v>
      </c>
      <c r="L107" s="226"/>
      <c r="M107" s="208"/>
      <c r="N107" s="211"/>
      <c r="O107" s="139">
        <v>4</v>
      </c>
      <c r="P107" s="124"/>
      <c r="Q107" s="125" t="str">
        <f t="shared" ref="Q107:Q109" si="106">IF(OR(R107="Preventivo",R107="Detectivo"),"Probabilidad",IF(R107="Correctivo","Impacto",""))</f>
        <v/>
      </c>
      <c r="R107" s="126"/>
      <c r="S107" s="126"/>
      <c r="T107" s="127" t="str">
        <f t="shared" si="103"/>
        <v/>
      </c>
      <c r="U107" s="126"/>
      <c r="V107" s="126"/>
      <c r="W107" s="126"/>
      <c r="X107" s="128" t="str">
        <f t="shared" ref="X107:X109" si="107">IFERROR(IF(AND(Q106="Probabilidad",Q107="Probabilidad"),(Z106-(+Z106*T107)),IF(AND(Q106="Impacto",Q107="Probabilidad"),(Z105-(+Z105*T107)),IF(Q107="Impacto",Z106,""))),"")</f>
        <v/>
      </c>
      <c r="Y107" s="129" t="str">
        <f t="shared" si="78"/>
        <v/>
      </c>
      <c r="Z107" s="130" t="str">
        <f t="shared" si="104"/>
        <v/>
      </c>
      <c r="AA107" s="129" t="str">
        <f t="shared" si="80"/>
        <v/>
      </c>
      <c r="AB107" s="138" t="str">
        <f t="shared" ref="AB107:AB109" si="108">IFERROR(IF(AND(Q106="Impacto",Q107="Impacto"),(AB106-(+AB106*T107)),IF(AND(Q106="Probabilidad",Q107="Impacto"),(AB105-(+AB105*T107)),IF(Q107="Probabilidad",AB106,""))),"")</f>
        <v/>
      </c>
      <c r="AC107" s="131" t="str">
        <f>IFERROR(IF(OR(AND(Y107="Muy Baja",AA107="Leve"),AND(Y107="Muy Baja",AA107="Menor"),AND(Y107="Baja",AA107="Leve")),"Bajo",IF(OR(AND(Y107="Muy baja",AA107="Moderado"),AND(Y107="Baja",AA107="Menor"),AND(Y107="Baja",AA107="Moderado"),AND(Y107="Media",AA107="Leve"),AND(Y107="Media",AA107="Menor"),AND(Y107="Media",AA107="Moderado"),AND(Y107="Alta",AA107="Leve"),AND(Y107="Alta",AA107="Menor")),"Moderado",IF(OR(AND(Y107="Muy Baja",AA107="Mayor"),AND(Y107="Baja",AA107="Mayor"),AND(Y107="Media",AA107="Mayor"),AND(Y107="Alta",AA107="Moderado"),AND(Y107="Alta",AA107="Mayor"),AND(Y107="Muy Alta",AA107="Leve"),AND(Y107="Muy Alta",AA107="Menor"),AND(Y107="Muy Alta",AA107="Moderado"),AND(Y107="Muy Alta",AA107="Mayor")),"Alto",IF(OR(AND(Y107="Muy Baja",AA107="Catastrófico"),AND(Y107="Baja",AA107="Catastrófico"),AND(Y107="Media",AA107="Catastrófico"),AND(Y107="Alta",AA107="Catastrófico"),AND(Y107="Muy Alta",AA107="Catastrófico")),"Extremo","")))),"")</f>
        <v/>
      </c>
      <c r="AD107" s="132"/>
      <c r="AE107" s="133"/>
      <c r="AF107" s="134"/>
      <c r="AG107" s="135"/>
      <c r="AH107" s="135"/>
      <c r="AI107" s="133"/>
      <c r="AJ107" s="134"/>
    </row>
    <row r="108" spans="1:36" hidden="1" x14ac:dyDescent="0.3">
      <c r="A108" s="214"/>
      <c r="B108" s="217"/>
      <c r="C108" s="217"/>
      <c r="D108" s="217"/>
      <c r="E108" s="220"/>
      <c r="F108" s="217"/>
      <c r="G108" s="223"/>
      <c r="H108" s="226"/>
      <c r="I108" s="208"/>
      <c r="J108" s="229"/>
      <c r="K108" s="208">
        <f t="shared" ca="1" si="102"/>
        <v>0</v>
      </c>
      <c r="L108" s="226"/>
      <c r="M108" s="208"/>
      <c r="N108" s="211"/>
      <c r="O108" s="139">
        <v>5</v>
      </c>
      <c r="P108" s="124"/>
      <c r="Q108" s="125" t="str">
        <f t="shared" si="106"/>
        <v/>
      </c>
      <c r="R108" s="126"/>
      <c r="S108" s="126"/>
      <c r="T108" s="127" t="str">
        <f t="shared" si="103"/>
        <v/>
      </c>
      <c r="U108" s="126"/>
      <c r="V108" s="126"/>
      <c r="W108" s="126"/>
      <c r="X108" s="128" t="str">
        <f t="shared" si="107"/>
        <v/>
      </c>
      <c r="Y108" s="129" t="str">
        <f t="shared" si="78"/>
        <v/>
      </c>
      <c r="Z108" s="130" t="str">
        <f t="shared" si="104"/>
        <v/>
      </c>
      <c r="AA108" s="129" t="str">
        <f t="shared" si="80"/>
        <v/>
      </c>
      <c r="AB108" s="138" t="str">
        <f t="shared" si="108"/>
        <v/>
      </c>
      <c r="AC108" s="131" t="str">
        <f t="shared" ref="AC108:AC109" si="109">IFERROR(IF(OR(AND(Y108="Muy Baja",AA108="Leve"),AND(Y108="Muy Baja",AA108="Menor"),AND(Y108="Baja",AA108="Leve")),"Bajo",IF(OR(AND(Y108="Muy baja",AA108="Moderado"),AND(Y108="Baja",AA108="Menor"),AND(Y108="Baja",AA108="Moderado"),AND(Y108="Media",AA108="Leve"),AND(Y108="Media",AA108="Menor"),AND(Y108="Media",AA108="Moderado"),AND(Y108="Alta",AA108="Leve"),AND(Y108="Alta",AA108="Menor")),"Moderado",IF(OR(AND(Y108="Muy Baja",AA108="Mayor"),AND(Y108="Baja",AA108="Mayor"),AND(Y108="Media",AA108="Mayor"),AND(Y108="Alta",AA108="Moderado"),AND(Y108="Alta",AA108="Mayor"),AND(Y108="Muy Alta",AA108="Leve"),AND(Y108="Muy Alta",AA108="Menor"),AND(Y108="Muy Alta",AA108="Moderado"),AND(Y108="Muy Alta",AA108="Mayor")),"Alto",IF(OR(AND(Y108="Muy Baja",AA108="Catastrófico"),AND(Y108="Baja",AA108="Catastrófico"),AND(Y108="Media",AA108="Catastrófico"),AND(Y108="Alta",AA108="Catastrófico"),AND(Y108="Muy Alta",AA108="Catastrófico")),"Extremo","")))),"")</f>
        <v/>
      </c>
      <c r="AD108" s="132"/>
      <c r="AE108" s="133"/>
      <c r="AF108" s="134"/>
      <c r="AG108" s="135"/>
      <c r="AH108" s="135"/>
      <c r="AI108" s="133"/>
      <c r="AJ108" s="134"/>
    </row>
    <row r="109" spans="1:36" hidden="1" x14ac:dyDescent="0.3">
      <c r="A109" s="215"/>
      <c r="B109" s="218"/>
      <c r="C109" s="218"/>
      <c r="D109" s="218"/>
      <c r="E109" s="221"/>
      <c r="F109" s="218"/>
      <c r="G109" s="224"/>
      <c r="H109" s="227"/>
      <c r="I109" s="209"/>
      <c r="J109" s="230"/>
      <c r="K109" s="209">
        <f t="shared" ca="1" si="102"/>
        <v>0</v>
      </c>
      <c r="L109" s="227"/>
      <c r="M109" s="209"/>
      <c r="N109" s="212"/>
      <c r="O109" s="139">
        <v>6</v>
      </c>
      <c r="P109" s="124"/>
      <c r="Q109" s="125" t="str">
        <f t="shared" si="106"/>
        <v/>
      </c>
      <c r="R109" s="126"/>
      <c r="S109" s="126"/>
      <c r="T109" s="127" t="str">
        <f t="shared" si="103"/>
        <v/>
      </c>
      <c r="U109" s="126"/>
      <c r="V109" s="126"/>
      <c r="W109" s="126"/>
      <c r="X109" s="128" t="str">
        <f t="shared" si="107"/>
        <v/>
      </c>
      <c r="Y109" s="129" t="str">
        <f t="shared" si="78"/>
        <v/>
      </c>
      <c r="Z109" s="130" t="str">
        <f t="shared" si="104"/>
        <v/>
      </c>
      <c r="AA109" s="129" t="str">
        <f t="shared" si="80"/>
        <v/>
      </c>
      <c r="AB109" s="138" t="str">
        <f t="shared" si="108"/>
        <v/>
      </c>
      <c r="AC109" s="131" t="str">
        <f t="shared" si="109"/>
        <v/>
      </c>
      <c r="AD109" s="132"/>
      <c r="AE109" s="133"/>
      <c r="AF109" s="134"/>
      <c r="AG109" s="135"/>
      <c r="AH109" s="135"/>
      <c r="AI109" s="133"/>
      <c r="AJ109" s="134"/>
    </row>
    <row r="110" spans="1:36" hidden="1" x14ac:dyDescent="0.3">
      <c r="A110" s="213">
        <v>6</v>
      </c>
      <c r="B110" s="216"/>
      <c r="C110" s="216"/>
      <c r="D110" s="216"/>
      <c r="E110" s="219"/>
      <c r="F110" s="216"/>
      <c r="G110" s="222"/>
      <c r="H110" s="225" t="str">
        <f>IF(G110&lt;=0,"",IF(G110&lt;=2,"Muy Baja",IF(G110&lt;=24,"Baja",IF(G110&lt;=500,"Media",IF(G110&lt;=5000,"Alta","Muy Alta")))))</f>
        <v/>
      </c>
      <c r="I110" s="207" t="str">
        <f>IF(H110="","",IF(H110="Muy Baja",0.2,IF(H110="Baja",0.4,IF(H110="Media",0.6,IF(H110="Alta",0.8,IF(H110="Muy Alta",1,))))))</f>
        <v/>
      </c>
      <c r="J110" s="228"/>
      <c r="K110" s="207">
        <f>IF(NOT(ISERROR(MATCH(J110,#REF!,0))),#REF!&amp;"Por favor no seleccionar los criterios de impacto(Afectación Económica o presupuestal y Pérdida Reputacional)",J110)</f>
        <v>0</v>
      </c>
      <c r="L110" s="225" t="e">
        <f>IF(OR(K110=#REF!,K110=#REF!),"Leve",IF(OR(K110=#REF!,K110=#REF!),"Menor",IF(OR(K110=#REF!,K110=#REF!),"Moderado",IF(OR(K110=#REF!,K110=#REF!),"Mayor",IF(OR(K110=#REF!,K110=#REF!),"Catastrófico","")))))</f>
        <v>#REF!</v>
      </c>
      <c r="M110" s="207" t="e">
        <f>IF(L110="","",IF(L110="Leve",0.2,IF(L110="Menor",0.4,IF(L110="Moderado",0.6,IF(L110="Mayor",0.8,IF(L110="Catastrófico",1,))))))</f>
        <v>#REF!</v>
      </c>
      <c r="N110" s="210" t="e">
        <f>IF(OR(AND(H110="Muy Baja",L110="Leve"),AND(H110="Muy Baja",L110="Menor"),AND(H110="Baja",L110="Leve")),"Bajo",IF(OR(AND(H110="Muy baja",L110="Moderado"),AND(H110="Baja",L110="Menor"),AND(H110="Baja",L110="Moderado"),AND(H110="Media",L110="Leve"),AND(H110="Media",L110="Menor"),AND(H110="Media",L110="Moderado"),AND(H110="Alta",L110="Leve"),AND(H110="Alta",L110="Menor")),"Moderado",IF(OR(AND(H110="Muy Baja",L110="Mayor"),AND(H110="Baja",L110="Mayor"),AND(H110="Media",L110="Mayor"),AND(H110="Alta",L110="Moderado"),AND(H110="Alta",L110="Mayor"),AND(H110="Muy Alta",L110="Leve"),AND(H110="Muy Alta",L110="Menor"),AND(H110="Muy Alta",L110="Moderado"),AND(H110="Muy Alta",L110="Mayor")),"Alto",IF(OR(AND(H110="Muy Baja",L110="Catastrófico"),AND(H110="Baja",L110="Catastrófico"),AND(H110="Media",L110="Catastrófico"),AND(H110="Alta",L110="Catastrófico"),AND(H110="Muy Alta",L110="Catastrófico")),"Extremo",""))))</f>
        <v>#REF!</v>
      </c>
      <c r="O110" s="139">
        <v>1</v>
      </c>
      <c r="P110" s="124"/>
      <c r="Q110" s="125" t="str">
        <f>IF(OR(R110="Preventivo",R110="Detectivo"),"Probabilidad",IF(R110="Correctivo","Impacto",""))</f>
        <v/>
      </c>
      <c r="R110" s="126"/>
      <c r="S110" s="126"/>
      <c r="T110" s="127" t="str">
        <f>IF(AND(R110="Preventivo",S110="Automático"),"50%",IF(AND(R110="Preventivo",S110="Manual"),"40%",IF(AND(R110="Detectivo",S110="Automático"),"40%",IF(AND(R110="Detectivo",S110="Manual"),"30%",IF(AND(R110="Correctivo",S110="Automático"),"35%",IF(AND(R110="Correctivo",S110="Manual"),"25%",""))))))</f>
        <v/>
      </c>
      <c r="U110" s="126"/>
      <c r="V110" s="126"/>
      <c r="W110" s="126"/>
      <c r="X110" s="128" t="str">
        <f>IFERROR(IF(Q110="Probabilidad",(I110-(+I110*T110)),IF(Q110="Impacto",I110,"")),"")</f>
        <v/>
      </c>
      <c r="Y110" s="129" t="str">
        <f>IFERROR(IF(X110="","",IF(X110&lt;=0.2,"Muy Baja",IF(X110&lt;=0.4,"Baja",IF(X110&lt;=0.6,"Media",IF(X110&lt;=0.8,"Alta","Muy Alta"))))),"")</f>
        <v/>
      </c>
      <c r="Z110" s="130" t="str">
        <f>+X110</f>
        <v/>
      </c>
      <c r="AA110" s="129" t="str">
        <f>IFERROR(IF(AB110="","",IF(AB110&lt;=0.2,"Leve",IF(AB110&lt;=0.4,"Menor",IF(AB110&lt;=0.6,"Moderado",IF(AB110&lt;=0.8,"Mayor","Catastrófico"))))),"")</f>
        <v/>
      </c>
      <c r="AB110" s="138" t="str">
        <f>IFERROR(IF(Q110="Impacto",(M110-(+M110*T110)),IF(Q110="Probabilidad",M110,"")),"")</f>
        <v/>
      </c>
      <c r="AC110" s="131" t="str">
        <f>IFERROR(IF(OR(AND(Y110="Muy Baja",AA110="Leve"),AND(Y110="Muy Baja",AA110="Menor"),AND(Y110="Baja",AA110="Leve")),"Bajo",IF(OR(AND(Y110="Muy baja",AA110="Moderado"),AND(Y110="Baja",AA110="Menor"),AND(Y110="Baja",AA110="Moderado"),AND(Y110="Media",AA110="Leve"),AND(Y110="Media",AA110="Menor"),AND(Y110="Media",AA110="Moderado"),AND(Y110="Alta",AA110="Leve"),AND(Y110="Alta",AA110="Menor")),"Moderado",IF(OR(AND(Y110="Muy Baja",AA110="Mayor"),AND(Y110="Baja",AA110="Mayor"),AND(Y110="Media",AA110="Mayor"),AND(Y110="Alta",AA110="Moderado"),AND(Y110="Alta",AA110="Mayor"),AND(Y110="Muy Alta",AA110="Leve"),AND(Y110="Muy Alta",AA110="Menor"),AND(Y110="Muy Alta",AA110="Moderado"),AND(Y110="Muy Alta",AA110="Mayor")),"Alto",IF(OR(AND(Y110="Muy Baja",AA110="Catastrófico"),AND(Y110="Baja",AA110="Catastrófico"),AND(Y110="Media",AA110="Catastrófico"),AND(Y110="Alta",AA110="Catastrófico"),AND(Y110="Muy Alta",AA110="Catastrófico")),"Extremo","")))),"")</f>
        <v/>
      </c>
      <c r="AD110" s="132"/>
      <c r="AE110" s="133"/>
      <c r="AF110" s="134"/>
      <c r="AG110" s="135"/>
      <c r="AH110" s="135"/>
      <c r="AI110" s="133"/>
      <c r="AJ110" s="134"/>
    </row>
    <row r="111" spans="1:36" hidden="1" x14ac:dyDescent="0.3">
      <c r="A111" s="214"/>
      <c r="B111" s="217"/>
      <c r="C111" s="217"/>
      <c r="D111" s="217"/>
      <c r="E111" s="220"/>
      <c r="F111" s="217"/>
      <c r="G111" s="223"/>
      <c r="H111" s="226"/>
      <c r="I111" s="208"/>
      <c r="J111" s="229"/>
      <c r="K111" s="208">
        <f t="shared" ref="K111:K115" ca="1" si="110">IF(NOT(ISERROR(MATCH(J111,_xlfn.ANCHORARRAY(E122),0))),I124&amp;"Por favor no seleccionar los criterios de impacto",J111)</f>
        <v>0</v>
      </c>
      <c r="L111" s="226"/>
      <c r="M111" s="208"/>
      <c r="N111" s="211"/>
      <c r="O111" s="139">
        <v>2</v>
      </c>
      <c r="P111" s="124"/>
      <c r="Q111" s="125" t="str">
        <f>IF(OR(R111="Preventivo",R111="Detectivo"),"Probabilidad",IF(R111="Correctivo","Impacto",""))</f>
        <v/>
      </c>
      <c r="R111" s="126"/>
      <c r="S111" s="126"/>
      <c r="T111" s="127" t="str">
        <f t="shared" ref="T111:T115" si="111">IF(AND(R111="Preventivo",S111="Automático"),"50%",IF(AND(R111="Preventivo",S111="Manual"),"40%",IF(AND(R111="Detectivo",S111="Automático"),"40%",IF(AND(R111="Detectivo",S111="Manual"),"30%",IF(AND(R111="Correctivo",S111="Automático"),"35%",IF(AND(R111="Correctivo",S111="Manual"),"25%",""))))))</f>
        <v/>
      </c>
      <c r="U111" s="126"/>
      <c r="V111" s="126"/>
      <c r="W111" s="126"/>
      <c r="X111" s="128" t="str">
        <f>IFERROR(IF(AND(Q110="Probabilidad",Q111="Probabilidad"),(Z110-(+Z110*T111)),IF(Q111="Probabilidad",(I110-(+I110*T111)),IF(Q111="Impacto",Z110,""))),"")</f>
        <v/>
      </c>
      <c r="Y111" s="129" t="str">
        <f t="shared" si="78"/>
        <v/>
      </c>
      <c r="Z111" s="130" t="str">
        <f t="shared" ref="Z111:Z115" si="112">+X111</f>
        <v/>
      </c>
      <c r="AA111" s="129" t="str">
        <f t="shared" si="80"/>
        <v/>
      </c>
      <c r="AB111" s="138" t="str">
        <f>IFERROR(IF(AND(Q110="Impacto",Q111="Impacto"),(AB110-(+AB110*T111)),IF(Q111="Impacto",(M110-(+M110*T111)),IF(Q111="Probabilidad",AB110,""))),"")</f>
        <v/>
      </c>
      <c r="AC111" s="131" t="str">
        <f t="shared" ref="AC111:AC112" si="113">IFERROR(IF(OR(AND(Y111="Muy Baja",AA111="Leve"),AND(Y111="Muy Baja",AA111="Menor"),AND(Y111="Baja",AA111="Leve")),"Bajo",IF(OR(AND(Y111="Muy baja",AA111="Moderado"),AND(Y111="Baja",AA111="Menor"),AND(Y111="Baja",AA111="Moderado"),AND(Y111="Media",AA111="Leve"),AND(Y111="Media",AA111="Menor"),AND(Y111="Media",AA111="Moderado"),AND(Y111="Alta",AA111="Leve"),AND(Y111="Alta",AA111="Menor")),"Moderado",IF(OR(AND(Y111="Muy Baja",AA111="Mayor"),AND(Y111="Baja",AA111="Mayor"),AND(Y111="Media",AA111="Mayor"),AND(Y111="Alta",AA111="Moderado"),AND(Y111="Alta",AA111="Mayor"),AND(Y111="Muy Alta",AA111="Leve"),AND(Y111="Muy Alta",AA111="Menor"),AND(Y111="Muy Alta",AA111="Moderado"),AND(Y111="Muy Alta",AA111="Mayor")),"Alto",IF(OR(AND(Y111="Muy Baja",AA111="Catastrófico"),AND(Y111="Baja",AA111="Catastrófico"),AND(Y111="Media",AA111="Catastrófico"),AND(Y111="Alta",AA111="Catastrófico"),AND(Y111="Muy Alta",AA111="Catastrófico")),"Extremo","")))),"")</f>
        <v/>
      </c>
      <c r="AD111" s="132"/>
      <c r="AE111" s="133"/>
      <c r="AF111" s="134"/>
      <c r="AG111" s="135"/>
      <c r="AH111" s="135"/>
      <c r="AI111" s="133"/>
      <c r="AJ111" s="134"/>
    </row>
    <row r="112" spans="1:36" hidden="1" x14ac:dyDescent="0.3">
      <c r="A112" s="214"/>
      <c r="B112" s="217"/>
      <c r="C112" s="217"/>
      <c r="D112" s="217"/>
      <c r="E112" s="220"/>
      <c r="F112" s="217"/>
      <c r="G112" s="223"/>
      <c r="H112" s="226"/>
      <c r="I112" s="208"/>
      <c r="J112" s="229"/>
      <c r="K112" s="208">
        <f t="shared" ca="1" si="110"/>
        <v>0</v>
      </c>
      <c r="L112" s="226"/>
      <c r="M112" s="208"/>
      <c r="N112" s="211"/>
      <c r="O112" s="139">
        <v>3</v>
      </c>
      <c r="P112" s="136"/>
      <c r="Q112" s="125" t="str">
        <f>IF(OR(R112="Preventivo",R112="Detectivo"),"Probabilidad",IF(R112="Correctivo","Impacto",""))</f>
        <v/>
      </c>
      <c r="R112" s="126"/>
      <c r="S112" s="126"/>
      <c r="T112" s="127" t="str">
        <f t="shared" si="111"/>
        <v/>
      </c>
      <c r="U112" s="126"/>
      <c r="V112" s="126"/>
      <c r="W112" s="126"/>
      <c r="X112" s="128" t="str">
        <f>IFERROR(IF(AND(Q111="Probabilidad",Q112="Probabilidad"),(Z111-(+Z111*T112)),IF(AND(Q111="Impacto",Q112="Probabilidad"),(Z110-(+Z110*T112)),IF(Q112="Impacto",Z111,""))),"")</f>
        <v/>
      </c>
      <c r="Y112" s="129" t="str">
        <f t="shared" si="78"/>
        <v/>
      </c>
      <c r="Z112" s="130" t="str">
        <f t="shared" si="112"/>
        <v/>
      </c>
      <c r="AA112" s="129" t="str">
        <f t="shared" si="80"/>
        <v/>
      </c>
      <c r="AB112" s="138" t="str">
        <f>IFERROR(IF(AND(Q111="Impacto",Q112="Impacto"),(AB111-(+AB111*T112)),IF(AND(Q111="Probabilidad",Q112="Impacto"),(AB110-(+AB110*T112)),IF(Q112="Probabilidad",AB111,""))),"")</f>
        <v/>
      </c>
      <c r="AC112" s="131" t="str">
        <f t="shared" si="113"/>
        <v/>
      </c>
      <c r="AD112" s="132"/>
      <c r="AE112" s="133"/>
      <c r="AF112" s="134"/>
      <c r="AG112" s="135"/>
      <c r="AH112" s="135"/>
      <c r="AI112" s="133"/>
      <c r="AJ112" s="134"/>
    </row>
    <row r="113" spans="1:36" hidden="1" x14ac:dyDescent="0.3">
      <c r="A113" s="214"/>
      <c r="B113" s="217"/>
      <c r="C113" s="217"/>
      <c r="D113" s="217"/>
      <c r="E113" s="220"/>
      <c r="F113" s="217"/>
      <c r="G113" s="223"/>
      <c r="H113" s="226"/>
      <c r="I113" s="208"/>
      <c r="J113" s="229"/>
      <c r="K113" s="208">
        <f t="shared" ca="1" si="110"/>
        <v>0</v>
      </c>
      <c r="L113" s="226"/>
      <c r="M113" s="208"/>
      <c r="N113" s="211"/>
      <c r="O113" s="139">
        <v>4</v>
      </c>
      <c r="P113" s="124"/>
      <c r="Q113" s="125" t="str">
        <f t="shared" ref="Q113:Q115" si="114">IF(OR(R113="Preventivo",R113="Detectivo"),"Probabilidad",IF(R113="Correctivo","Impacto",""))</f>
        <v/>
      </c>
      <c r="R113" s="126"/>
      <c r="S113" s="126"/>
      <c r="T113" s="127" t="str">
        <f t="shared" si="111"/>
        <v/>
      </c>
      <c r="U113" s="126"/>
      <c r="V113" s="126"/>
      <c r="W113" s="126"/>
      <c r="X113" s="128" t="str">
        <f t="shared" ref="X113:X115" si="115">IFERROR(IF(AND(Q112="Probabilidad",Q113="Probabilidad"),(Z112-(+Z112*T113)),IF(AND(Q112="Impacto",Q113="Probabilidad"),(Z111-(+Z111*T113)),IF(Q113="Impacto",Z112,""))),"")</f>
        <v/>
      </c>
      <c r="Y113" s="129" t="str">
        <f t="shared" si="78"/>
        <v/>
      </c>
      <c r="Z113" s="130" t="str">
        <f t="shared" si="112"/>
        <v/>
      </c>
      <c r="AA113" s="129" t="str">
        <f t="shared" si="80"/>
        <v/>
      </c>
      <c r="AB113" s="138" t="str">
        <f t="shared" ref="AB113:AB115" si="116">IFERROR(IF(AND(Q112="Impacto",Q113="Impacto"),(AB112-(+AB112*T113)),IF(AND(Q112="Probabilidad",Q113="Impacto"),(AB111-(+AB111*T113)),IF(Q113="Probabilidad",AB112,""))),"")</f>
        <v/>
      </c>
      <c r="AC113" s="131" t="str">
        <f>IFERROR(IF(OR(AND(Y113="Muy Baja",AA113="Leve"),AND(Y113="Muy Baja",AA113="Menor"),AND(Y113="Baja",AA113="Leve")),"Bajo",IF(OR(AND(Y113="Muy baja",AA113="Moderado"),AND(Y113="Baja",AA113="Menor"),AND(Y113="Baja",AA113="Moderado"),AND(Y113="Media",AA113="Leve"),AND(Y113="Media",AA113="Menor"),AND(Y113="Media",AA113="Moderado"),AND(Y113="Alta",AA113="Leve"),AND(Y113="Alta",AA113="Menor")),"Moderado",IF(OR(AND(Y113="Muy Baja",AA113="Mayor"),AND(Y113="Baja",AA113="Mayor"),AND(Y113="Media",AA113="Mayor"),AND(Y113="Alta",AA113="Moderado"),AND(Y113="Alta",AA113="Mayor"),AND(Y113="Muy Alta",AA113="Leve"),AND(Y113="Muy Alta",AA113="Menor"),AND(Y113="Muy Alta",AA113="Moderado"),AND(Y113="Muy Alta",AA113="Mayor")),"Alto",IF(OR(AND(Y113="Muy Baja",AA113="Catastrófico"),AND(Y113="Baja",AA113="Catastrófico"),AND(Y113="Media",AA113="Catastrófico"),AND(Y113="Alta",AA113="Catastrófico"),AND(Y113="Muy Alta",AA113="Catastrófico")),"Extremo","")))),"")</f>
        <v/>
      </c>
      <c r="AD113" s="132"/>
      <c r="AE113" s="133"/>
      <c r="AF113" s="134"/>
      <c r="AG113" s="135"/>
      <c r="AH113" s="135"/>
      <c r="AI113" s="133"/>
      <c r="AJ113" s="134"/>
    </row>
    <row r="114" spans="1:36" hidden="1" x14ac:dyDescent="0.3">
      <c r="A114" s="214"/>
      <c r="B114" s="217"/>
      <c r="C114" s="217"/>
      <c r="D114" s="217"/>
      <c r="E114" s="220"/>
      <c r="F114" s="217"/>
      <c r="G114" s="223"/>
      <c r="H114" s="226"/>
      <c r="I114" s="208"/>
      <c r="J114" s="229"/>
      <c r="K114" s="208">
        <f t="shared" ca="1" si="110"/>
        <v>0</v>
      </c>
      <c r="L114" s="226"/>
      <c r="M114" s="208"/>
      <c r="N114" s="211"/>
      <c r="O114" s="139">
        <v>5</v>
      </c>
      <c r="P114" s="124"/>
      <c r="Q114" s="125" t="str">
        <f t="shared" si="114"/>
        <v/>
      </c>
      <c r="R114" s="126"/>
      <c r="S114" s="126"/>
      <c r="T114" s="127" t="str">
        <f t="shared" si="111"/>
        <v/>
      </c>
      <c r="U114" s="126"/>
      <c r="V114" s="126"/>
      <c r="W114" s="126"/>
      <c r="X114" s="128" t="str">
        <f t="shared" si="115"/>
        <v/>
      </c>
      <c r="Y114" s="129" t="str">
        <f t="shared" si="78"/>
        <v/>
      </c>
      <c r="Z114" s="130" t="str">
        <f t="shared" si="112"/>
        <v/>
      </c>
      <c r="AA114" s="129" t="str">
        <f t="shared" si="80"/>
        <v/>
      </c>
      <c r="AB114" s="138" t="str">
        <f t="shared" si="116"/>
        <v/>
      </c>
      <c r="AC114" s="131" t="str">
        <f t="shared" ref="AC114" si="117">IFERROR(IF(OR(AND(Y114="Muy Baja",AA114="Leve"),AND(Y114="Muy Baja",AA114="Menor"),AND(Y114="Baja",AA114="Leve")),"Bajo",IF(OR(AND(Y114="Muy baja",AA114="Moderado"),AND(Y114="Baja",AA114="Menor"),AND(Y114="Baja",AA114="Moderado"),AND(Y114="Media",AA114="Leve"),AND(Y114="Media",AA114="Menor"),AND(Y114="Media",AA114="Moderado"),AND(Y114="Alta",AA114="Leve"),AND(Y114="Alta",AA114="Menor")),"Moderado",IF(OR(AND(Y114="Muy Baja",AA114="Mayor"),AND(Y114="Baja",AA114="Mayor"),AND(Y114="Media",AA114="Mayor"),AND(Y114="Alta",AA114="Moderado"),AND(Y114="Alta",AA114="Mayor"),AND(Y114="Muy Alta",AA114="Leve"),AND(Y114="Muy Alta",AA114="Menor"),AND(Y114="Muy Alta",AA114="Moderado"),AND(Y114="Muy Alta",AA114="Mayor")),"Alto",IF(OR(AND(Y114="Muy Baja",AA114="Catastrófico"),AND(Y114="Baja",AA114="Catastrófico"),AND(Y114="Media",AA114="Catastrófico"),AND(Y114="Alta",AA114="Catastrófico"),AND(Y114="Muy Alta",AA114="Catastrófico")),"Extremo","")))),"")</f>
        <v/>
      </c>
      <c r="AD114" s="132"/>
      <c r="AE114" s="133"/>
      <c r="AF114" s="134"/>
      <c r="AG114" s="135"/>
      <c r="AH114" s="135"/>
      <c r="AI114" s="133"/>
      <c r="AJ114" s="134"/>
    </row>
    <row r="115" spans="1:36" hidden="1" x14ac:dyDescent="0.3">
      <c r="A115" s="215"/>
      <c r="B115" s="218"/>
      <c r="C115" s="218"/>
      <c r="D115" s="218"/>
      <c r="E115" s="221"/>
      <c r="F115" s="218"/>
      <c r="G115" s="224"/>
      <c r="H115" s="227"/>
      <c r="I115" s="209"/>
      <c r="J115" s="230"/>
      <c r="K115" s="209">
        <f t="shared" ca="1" si="110"/>
        <v>0</v>
      </c>
      <c r="L115" s="227"/>
      <c r="M115" s="209"/>
      <c r="N115" s="212"/>
      <c r="O115" s="139">
        <v>6</v>
      </c>
      <c r="P115" s="124"/>
      <c r="Q115" s="125" t="str">
        <f t="shared" si="114"/>
        <v/>
      </c>
      <c r="R115" s="126"/>
      <c r="S115" s="126"/>
      <c r="T115" s="127" t="str">
        <f t="shared" si="111"/>
        <v/>
      </c>
      <c r="U115" s="126"/>
      <c r="V115" s="126"/>
      <c r="W115" s="126"/>
      <c r="X115" s="128" t="str">
        <f t="shared" si="115"/>
        <v/>
      </c>
      <c r="Y115" s="129" t="str">
        <f t="shared" si="78"/>
        <v/>
      </c>
      <c r="Z115" s="130" t="str">
        <f t="shared" si="112"/>
        <v/>
      </c>
      <c r="AA115" s="129" t="str">
        <f>IFERROR(IF(AB115="","",IF(AB115&lt;=0.2,"Leve",IF(AB115&lt;=0.4,"Menor",IF(AB115&lt;=0.6,"Moderado",IF(AB115&lt;=0.8,"Mayor","Catastrófico"))))),"")</f>
        <v/>
      </c>
      <c r="AB115" s="138" t="str">
        <f t="shared" si="116"/>
        <v/>
      </c>
      <c r="AC115" s="131" t="str">
        <f>IFERROR(IF(OR(AND(Y115="Muy Baja",AA115="Leve"),AND(Y115="Muy Baja",AA115="Menor"),AND(Y115="Baja",AA115="Leve")),"Bajo",IF(OR(AND(Y115="Muy baja",AA115="Moderado"),AND(Y115="Baja",AA115="Menor"),AND(Y115="Baja",AA115="Moderado"),AND(Y115="Media",AA115="Leve"),AND(Y115="Media",AA115="Menor"),AND(Y115="Media",AA115="Moderado"),AND(Y115="Alta",AA115="Leve"),AND(Y115="Alta",AA115="Menor")),"Moderado",IF(OR(AND(Y115="Muy Baja",AA115="Mayor"),AND(Y115="Baja",AA115="Mayor"),AND(Y115="Media",AA115="Mayor"),AND(Y115="Alta",AA115="Moderado"),AND(Y115="Alta",AA115="Mayor"),AND(Y115="Muy Alta",AA115="Leve"),AND(Y115="Muy Alta",AA115="Menor"),AND(Y115="Muy Alta",AA115="Moderado"),AND(Y115="Muy Alta",AA115="Mayor")),"Alto",IF(OR(AND(Y115="Muy Baja",AA115="Catastrófico"),AND(Y115="Baja",AA115="Catastrófico"),AND(Y115="Media",AA115="Catastrófico"),AND(Y115="Alta",AA115="Catastrófico"),AND(Y115="Muy Alta",AA115="Catastrófico")),"Extremo","")))),"")</f>
        <v/>
      </c>
      <c r="AD115" s="132"/>
      <c r="AE115" s="133"/>
      <c r="AF115" s="134"/>
      <c r="AG115" s="135"/>
      <c r="AH115" s="135"/>
      <c r="AI115" s="133"/>
      <c r="AJ115" s="134"/>
    </row>
    <row r="116" spans="1:36" hidden="1" x14ac:dyDescent="0.3">
      <c r="A116" s="213">
        <v>7</v>
      </c>
      <c r="B116" s="216"/>
      <c r="C116" s="216"/>
      <c r="D116" s="216"/>
      <c r="E116" s="219"/>
      <c r="F116" s="216"/>
      <c r="G116" s="222"/>
      <c r="H116" s="225" t="str">
        <f>IF(G116&lt;=0,"",IF(G116&lt;=2,"Muy Baja",IF(G116&lt;=24,"Baja",IF(G116&lt;=500,"Media",IF(G116&lt;=5000,"Alta","Muy Alta")))))</f>
        <v/>
      </c>
      <c r="I116" s="207" t="str">
        <f>IF(H116="","",IF(H116="Muy Baja",0.2,IF(H116="Baja",0.4,IF(H116="Media",0.6,IF(H116="Alta",0.8,IF(H116="Muy Alta",1,))))))</f>
        <v/>
      </c>
      <c r="J116" s="228"/>
      <c r="K116" s="207">
        <f>IF(NOT(ISERROR(MATCH(J116,#REF!,0))),#REF!&amp;"Por favor no seleccionar los criterios de impacto(Afectación Económica o presupuestal y Pérdida Reputacional)",J116)</f>
        <v>0</v>
      </c>
      <c r="L116" s="225" t="e">
        <f>IF(OR(K116=#REF!,K116=#REF!),"Leve",IF(OR(K116=#REF!,K116=#REF!),"Menor",IF(OR(K116=#REF!,K116=#REF!),"Moderado",IF(OR(K116=#REF!,K116=#REF!),"Mayor",IF(OR(K116=#REF!,K116=#REF!),"Catastrófico","")))))</f>
        <v>#REF!</v>
      </c>
      <c r="M116" s="207" t="e">
        <f>IF(L116="","",IF(L116="Leve",0.2,IF(L116="Menor",0.4,IF(L116="Moderado",0.6,IF(L116="Mayor",0.8,IF(L116="Catastrófico",1,))))))</f>
        <v>#REF!</v>
      </c>
      <c r="N116" s="210" t="e">
        <f>IF(OR(AND(H116="Muy Baja",L116="Leve"),AND(H116="Muy Baja",L116="Menor"),AND(H116="Baja",L116="Leve")),"Bajo",IF(OR(AND(H116="Muy baja",L116="Moderado"),AND(H116="Baja",L116="Menor"),AND(H116="Baja",L116="Moderado"),AND(H116="Media",L116="Leve"),AND(H116="Media",L116="Menor"),AND(H116="Media",L116="Moderado"),AND(H116="Alta",L116="Leve"),AND(H116="Alta",L116="Menor")),"Moderado",IF(OR(AND(H116="Muy Baja",L116="Mayor"),AND(H116="Baja",L116="Mayor"),AND(H116="Media",L116="Mayor"),AND(H116="Alta",L116="Moderado"),AND(H116="Alta",L116="Mayor"),AND(H116="Muy Alta",L116="Leve"),AND(H116="Muy Alta",L116="Menor"),AND(H116="Muy Alta",L116="Moderado"),AND(H116="Muy Alta",L116="Mayor")),"Alto",IF(OR(AND(H116="Muy Baja",L116="Catastrófico"),AND(H116="Baja",L116="Catastrófico"),AND(H116="Media",L116="Catastrófico"),AND(H116="Alta",L116="Catastrófico"),AND(H116="Muy Alta",L116="Catastrófico")),"Extremo",""))))</f>
        <v>#REF!</v>
      </c>
      <c r="O116" s="139">
        <v>1</v>
      </c>
      <c r="P116" s="124"/>
      <c r="Q116" s="125" t="str">
        <f>IF(OR(R116="Preventivo",R116="Detectivo"),"Probabilidad",IF(R116="Correctivo","Impacto",""))</f>
        <v/>
      </c>
      <c r="R116" s="126"/>
      <c r="S116" s="126"/>
      <c r="T116" s="127" t="str">
        <f>IF(AND(R116="Preventivo",S116="Automático"),"50%",IF(AND(R116="Preventivo",S116="Manual"),"40%",IF(AND(R116="Detectivo",S116="Automático"),"40%",IF(AND(R116="Detectivo",S116="Manual"),"30%",IF(AND(R116="Correctivo",S116="Automático"),"35%",IF(AND(R116="Correctivo",S116="Manual"),"25%",""))))))</f>
        <v/>
      </c>
      <c r="U116" s="126"/>
      <c r="V116" s="126"/>
      <c r="W116" s="126"/>
      <c r="X116" s="128" t="str">
        <f>IFERROR(IF(Q116="Probabilidad",(I116-(+I116*T116)),IF(Q116="Impacto",I116,"")),"")</f>
        <v/>
      </c>
      <c r="Y116" s="129" t="str">
        <f>IFERROR(IF(X116="","",IF(X116&lt;=0.2,"Muy Baja",IF(X116&lt;=0.4,"Baja",IF(X116&lt;=0.6,"Media",IF(X116&lt;=0.8,"Alta","Muy Alta"))))),"")</f>
        <v/>
      </c>
      <c r="Z116" s="130" t="str">
        <f>+X116</f>
        <v/>
      </c>
      <c r="AA116" s="129" t="str">
        <f>IFERROR(IF(AB116="","",IF(AB116&lt;=0.2,"Leve",IF(AB116&lt;=0.4,"Menor",IF(AB116&lt;=0.6,"Moderado",IF(AB116&lt;=0.8,"Mayor","Catastrófico"))))),"")</f>
        <v/>
      </c>
      <c r="AB116" s="138" t="str">
        <f>IFERROR(IF(Q116="Impacto",(M116-(+M116*T116)),IF(Q116="Probabilidad",M116,"")),"")</f>
        <v/>
      </c>
      <c r="AC116" s="131" t="str">
        <f>IFERROR(IF(OR(AND(Y116="Muy Baja",AA116="Leve"),AND(Y116="Muy Baja",AA116="Menor"),AND(Y116="Baja",AA116="Leve")),"Bajo",IF(OR(AND(Y116="Muy baja",AA116="Moderado"),AND(Y116="Baja",AA116="Menor"),AND(Y116="Baja",AA116="Moderado"),AND(Y116="Media",AA116="Leve"),AND(Y116="Media",AA116="Menor"),AND(Y116="Media",AA116="Moderado"),AND(Y116="Alta",AA116="Leve"),AND(Y116="Alta",AA116="Menor")),"Moderado",IF(OR(AND(Y116="Muy Baja",AA116="Mayor"),AND(Y116="Baja",AA116="Mayor"),AND(Y116="Media",AA116="Mayor"),AND(Y116="Alta",AA116="Moderado"),AND(Y116="Alta",AA116="Mayor"),AND(Y116="Muy Alta",AA116="Leve"),AND(Y116="Muy Alta",AA116="Menor"),AND(Y116="Muy Alta",AA116="Moderado"),AND(Y116="Muy Alta",AA116="Mayor")),"Alto",IF(OR(AND(Y116="Muy Baja",AA116="Catastrófico"),AND(Y116="Baja",AA116="Catastrófico"),AND(Y116="Media",AA116="Catastrófico"),AND(Y116="Alta",AA116="Catastrófico"),AND(Y116="Muy Alta",AA116="Catastrófico")),"Extremo","")))),"")</f>
        <v/>
      </c>
      <c r="AD116" s="132"/>
      <c r="AE116" s="133"/>
      <c r="AF116" s="134"/>
      <c r="AG116" s="135"/>
      <c r="AH116" s="135"/>
      <c r="AI116" s="133"/>
      <c r="AJ116" s="134"/>
    </row>
    <row r="117" spans="1:36" hidden="1" x14ac:dyDescent="0.3">
      <c r="A117" s="214"/>
      <c r="B117" s="217"/>
      <c r="C117" s="217"/>
      <c r="D117" s="217"/>
      <c r="E117" s="220"/>
      <c r="F117" s="217"/>
      <c r="G117" s="223"/>
      <c r="H117" s="226"/>
      <c r="I117" s="208"/>
      <c r="J117" s="229"/>
      <c r="K117" s="208">
        <f t="shared" ref="K117:K121" ca="1" si="118">IF(NOT(ISERROR(MATCH(J117,_xlfn.ANCHORARRAY(E128),0))),I130&amp;"Por favor no seleccionar los criterios de impacto",J117)</f>
        <v>0</v>
      </c>
      <c r="L117" s="226"/>
      <c r="M117" s="208"/>
      <c r="N117" s="211"/>
      <c r="O117" s="139">
        <v>2</v>
      </c>
      <c r="P117" s="124"/>
      <c r="Q117" s="125" t="str">
        <f>IF(OR(R117="Preventivo",R117="Detectivo"),"Probabilidad",IF(R117="Correctivo","Impacto",""))</f>
        <v/>
      </c>
      <c r="R117" s="126"/>
      <c r="S117" s="126"/>
      <c r="T117" s="127" t="str">
        <f t="shared" ref="T117:T121" si="119">IF(AND(R117="Preventivo",S117="Automático"),"50%",IF(AND(R117="Preventivo",S117="Manual"),"40%",IF(AND(R117="Detectivo",S117="Automático"),"40%",IF(AND(R117="Detectivo",S117="Manual"),"30%",IF(AND(R117="Correctivo",S117="Automático"),"35%",IF(AND(R117="Correctivo",S117="Manual"),"25%",""))))))</f>
        <v/>
      </c>
      <c r="U117" s="126"/>
      <c r="V117" s="126"/>
      <c r="W117" s="126"/>
      <c r="X117" s="128" t="str">
        <f>IFERROR(IF(AND(Q116="Probabilidad",Q117="Probabilidad"),(Z116-(+Z116*T117)),IF(Q117="Probabilidad",(I116-(+I116*T117)),IF(Q117="Impacto",Z116,""))),"")</f>
        <v/>
      </c>
      <c r="Y117" s="129" t="str">
        <f t="shared" si="78"/>
        <v/>
      </c>
      <c r="Z117" s="130" t="str">
        <f t="shared" ref="Z117:Z121" si="120">+X117</f>
        <v/>
      </c>
      <c r="AA117" s="129" t="str">
        <f t="shared" si="80"/>
        <v/>
      </c>
      <c r="AB117" s="138" t="str">
        <f>IFERROR(IF(AND(Q116="Impacto",Q117="Impacto"),(AB116-(+AB116*T117)),IF(Q117="Impacto",(M116-(+M116*T117)),IF(Q117="Probabilidad",AB116,""))),"")</f>
        <v/>
      </c>
      <c r="AC117" s="131" t="str">
        <f t="shared" ref="AC117:AC118" si="121">IFERROR(IF(OR(AND(Y117="Muy Baja",AA117="Leve"),AND(Y117="Muy Baja",AA117="Menor"),AND(Y117="Baja",AA117="Leve")),"Bajo",IF(OR(AND(Y117="Muy baja",AA117="Moderado"),AND(Y117="Baja",AA117="Menor"),AND(Y117="Baja",AA117="Moderado"),AND(Y117="Media",AA117="Leve"),AND(Y117="Media",AA117="Menor"),AND(Y117="Media",AA117="Moderado"),AND(Y117="Alta",AA117="Leve"),AND(Y117="Alta",AA117="Menor")),"Moderado",IF(OR(AND(Y117="Muy Baja",AA117="Mayor"),AND(Y117="Baja",AA117="Mayor"),AND(Y117="Media",AA117="Mayor"),AND(Y117="Alta",AA117="Moderado"),AND(Y117="Alta",AA117="Mayor"),AND(Y117="Muy Alta",AA117="Leve"),AND(Y117="Muy Alta",AA117="Menor"),AND(Y117="Muy Alta",AA117="Moderado"),AND(Y117="Muy Alta",AA117="Mayor")),"Alto",IF(OR(AND(Y117="Muy Baja",AA117="Catastrófico"),AND(Y117="Baja",AA117="Catastrófico"),AND(Y117="Media",AA117="Catastrófico"),AND(Y117="Alta",AA117="Catastrófico"),AND(Y117="Muy Alta",AA117="Catastrófico")),"Extremo","")))),"")</f>
        <v/>
      </c>
      <c r="AD117" s="132"/>
      <c r="AE117" s="133"/>
      <c r="AF117" s="134"/>
      <c r="AG117" s="135"/>
      <c r="AH117" s="135"/>
      <c r="AI117" s="133"/>
      <c r="AJ117" s="134"/>
    </row>
    <row r="118" spans="1:36" hidden="1" x14ac:dyDescent="0.3">
      <c r="A118" s="214"/>
      <c r="B118" s="217"/>
      <c r="C118" s="217"/>
      <c r="D118" s="217"/>
      <c r="E118" s="220"/>
      <c r="F118" s="217"/>
      <c r="G118" s="223"/>
      <c r="H118" s="226"/>
      <c r="I118" s="208"/>
      <c r="J118" s="229"/>
      <c r="K118" s="208">
        <f t="shared" ca="1" si="118"/>
        <v>0</v>
      </c>
      <c r="L118" s="226"/>
      <c r="M118" s="208"/>
      <c r="N118" s="211"/>
      <c r="O118" s="139">
        <v>3</v>
      </c>
      <c r="P118" s="136"/>
      <c r="Q118" s="125" t="str">
        <f>IF(OR(R118="Preventivo",R118="Detectivo"),"Probabilidad",IF(R118="Correctivo","Impacto",""))</f>
        <v/>
      </c>
      <c r="R118" s="126"/>
      <c r="S118" s="126"/>
      <c r="T118" s="127" t="str">
        <f t="shared" si="119"/>
        <v/>
      </c>
      <c r="U118" s="126"/>
      <c r="V118" s="126"/>
      <c r="W118" s="126"/>
      <c r="X118" s="128" t="str">
        <f>IFERROR(IF(AND(Q117="Probabilidad",Q118="Probabilidad"),(Z117-(+Z117*T118)),IF(AND(Q117="Impacto",Q118="Probabilidad"),(Z116-(+Z116*T118)),IF(Q118="Impacto",Z117,""))),"")</f>
        <v/>
      </c>
      <c r="Y118" s="129" t="str">
        <f t="shared" si="78"/>
        <v/>
      </c>
      <c r="Z118" s="130" t="str">
        <f t="shared" si="120"/>
        <v/>
      </c>
      <c r="AA118" s="129" t="str">
        <f t="shared" si="80"/>
        <v/>
      </c>
      <c r="AB118" s="138" t="str">
        <f>IFERROR(IF(AND(Q117="Impacto",Q118="Impacto"),(AB117-(+AB117*T118)),IF(AND(Q117="Probabilidad",Q118="Impacto"),(AB116-(+AB116*T118)),IF(Q118="Probabilidad",AB117,""))),"")</f>
        <v/>
      </c>
      <c r="AC118" s="131" t="str">
        <f t="shared" si="121"/>
        <v/>
      </c>
      <c r="AD118" s="132"/>
      <c r="AE118" s="133"/>
      <c r="AF118" s="134"/>
      <c r="AG118" s="135"/>
      <c r="AH118" s="135"/>
      <c r="AI118" s="133"/>
      <c r="AJ118" s="134"/>
    </row>
    <row r="119" spans="1:36" hidden="1" x14ac:dyDescent="0.3">
      <c r="A119" s="214"/>
      <c r="B119" s="217"/>
      <c r="C119" s="217"/>
      <c r="D119" s="217"/>
      <c r="E119" s="220"/>
      <c r="F119" s="217"/>
      <c r="G119" s="223"/>
      <c r="H119" s="226"/>
      <c r="I119" s="208"/>
      <c r="J119" s="229"/>
      <c r="K119" s="208">
        <f t="shared" ca="1" si="118"/>
        <v>0</v>
      </c>
      <c r="L119" s="226"/>
      <c r="M119" s="208"/>
      <c r="N119" s="211"/>
      <c r="O119" s="139">
        <v>4</v>
      </c>
      <c r="P119" s="124"/>
      <c r="Q119" s="125" t="str">
        <f t="shared" ref="Q119:Q121" si="122">IF(OR(R119="Preventivo",R119="Detectivo"),"Probabilidad",IF(R119="Correctivo","Impacto",""))</f>
        <v/>
      </c>
      <c r="R119" s="126"/>
      <c r="S119" s="126"/>
      <c r="T119" s="127" t="str">
        <f t="shared" si="119"/>
        <v/>
      </c>
      <c r="U119" s="126"/>
      <c r="V119" s="126"/>
      <c r="W119" s="126"/>
      <c r="X119" s="128" t="str">
        <f t="shared" ref="X119:X121" si="123">IFERROR(IF(AND(Q118="Probabilidad",Q119="Probabilidad"),(Z118-(+Z118*T119)),IF(AND(Q118="Impacto",Q119="Probabilidad"),(Z117-(+Z117*T119)),IF(Q119="Impacto",Z118,""))),"")</f>
        <v/>
      </c>
      <c r="Y119" s="129" t="str">
        <f t="shared" si="78"/>
        <v/>
      </c>
      <c r="Z119" s="130" t="str">
        <f t="shared" si="120"/>
        <v/>
      </c>
      <c r="AA119" s="129" t="str">
        <f t="shared" si="80"/>
        <v/>
      </c>
      <c r="AB119" s="138" t="str">
        <f t="shared" ref="AB119:AB121" si="124">IFERROR(IF(AND(Q118="Impacto",Q119="Impacto"),(AB118-(+AB118*T119)),IF(AND(Q118="Probabilidad",Q119="Impacto"),(AB117-(+AB117*T119)),IF(Q119="Probabilidad",AB118,""))),"")</f>
        <v/>
      </c>
      <c r="AC119" s="131" t="str">
        <f>IFERROR(IF(OR(AND(Y119="Muy Baja",AA119="Leve"),AND(Y119="Muy Baja",AA119="Menor"),AND(Y119="Baja",AA119="Leve")),"Bajo",IF(OR(AND(Y119="Muy baja",AA119="Moderado"),AND(Y119="Baja",AA119="Menor"),AND(Y119="Baja",AA119="Moderado"),AND(Y119="Media",AA119="Leve"),AND(Y119="Media",AA119="Menor"),AND(Y119="Media",AA119="Moderado"),AND(Y119="Alta",AA119="Leve"),AND(Y119="Alta",AA119="Menor")),"Moderado",IF(OR(AND(Y119="Muy Baja",AA119="Mayor"),AND(Y119="Baja",AA119="Mayor"),AND(Y119="Media",AA119="Mayor"),AND(Y119="Alta",AA119="Moderado"),AND(Y119="Alta",AA119="Mayor"),AND(Y119="Muy Alta",AA119="Leve"),AND(Y119="Muy Alta",AA119="Menor"),AND(Y119="Muy Alta",AA119="Moderado"),AND(Y119="Muy Alta",AA119="Mayor")),"Alto",IF(OR(AND(Y119="Muy Baja",AA119="Catastrófico"),AND(Y119="Baja",AA119="Catastrófico"),AND(Y119="Media",AA119="Catastrófico"),AND(Y119="Alta",AA119="Catastrófico"),AND(Y119="Muy Alta",AA119="Catastrófico")),"Extremo","")))),"")</f>
        <v/>
      </c>
      <c r="AD119" s="132"/>
      <c r="AE119" s="133"/>
      <c r="AF119" s="134"/>
      <c r="AG119" s="135"/>
      <c r="AH119" s="135"/>
      <c r="AI119" s="133"/>
      <c r="AJ119" s="134"/>
    </row>
    <row r="120" spans="1:36" hidden="1" x14ac:dyDescent="0.3">
      <c r="A120" s="214"/>
      <c r="B120" s="217"/>
      <c r="C120" s="217"/>
      <c r="D120" s="217"/>
      <c r="E120" s="220"/>
      <c r="F120" s="217"/>
      <c r="G120" s="223"/>
      <c r="H120" s="226"/>
      <c r="I120" s="208"/>
      <c r="J120" s="229"/>
      <c r="K120" s="208">
        <f t="shared" ca="1" si="118"/>
        <v>0</v>
      </c>
      <c r="L120" s="226"/>
      <c r="M120" s="208"/>
      <c r="N120" s="211"/>
      <c r="O120" s="139">
        <v>5</v>
      </c>
      <c r="P120" s="124"/>
      <c r="Q120" s="125" t="str">
        <f t="shared" si="122"/>
        <v/>
      </c>
      <c r="R120" s="126"/>
      <c r="S120" s="126"/>
      <c r="T120" s="127" t="str">
        <f t="shared" si="119"/>
        <v/>
      </c>
      <c r="U120" s="126"/>
      <c r="V120" s="126"/>
      <c r="W120" s="126"/>
      <c r="X120" s="128" t="str">
        <f t="shared" si="123"/>
        <v/>
      </c>
      <c r="Y120" s="129" t="str">
        <f t="shared" si="78"/>
        <v/>
      </c>
      <c r="Z120" s="130" t="str">
        <f t="shared" si="120"/>
        <v/>
      </c>
      <c r="AA120" s="129" t="str">
        <f t="shared" si="80"/>
        <v/>
      </c>
      <c r="AB120" s="138" t="str">
        <f t="shared" si="124"/>
        <v/>
      </c>
      <c r="AC120" s="131" t="str">
        <f t="shared" ref="AC120:AC121" si="125">IFERROR(IF(OR(AND(Y120="Muy Baja",AA120="Leve"),AND(Y120="Muy Baja",AA120="Menor"),AND(Y120="Baja",AA120="Leve")),"Bajo",IF(OR(AND(Y120="Muy baja",AA120="Moderado"),AND(Y120="Baja",AA120="Menor"),AND(Y120="Baja",AA120="Moderado"),AND(Y120="Media",AA120="Leve"),AND(Y120="Media",AA120="Menor"),AND(Y120="Media",AA120="Moderado"),AND(Y120="Alta",AA120="Leve"),AND(Y120="Alta",AA120="Menor")),"Moderado",IF(OR(AND(Y120="Muy Baja",AA120="Mayor"),AND(Y120="Baja",AA120="Mayor"),AND(Y120="Media",AA120="Mayor"),AND(Y120="Alta",AA120="Moderado"),AND(Y120="Alta",AA120="Mayor"),AND(Y120="Muy Alta",AA120="Leve"),AND(Y120="Muy Alta",AA120="Menor"),AND(Y120="Muy Alta",AA120="Moderado"),AND(Y120="Muy Alta",AA120="Mayor")),"Alto",IF(OR(AND(Y120="Muy Baja",AA120="Catastrófico"),AND(Y120="Baja",AA120="Catastrófico"),AND(Y120="Media",AA120="Catastrófico"),AND(Y120="Alta",AA120="Catastrófico"),AND(Y120="Muy Alta",AA120="Catastrófico")),"Extremo","")))),"")</f>
        <v/>
      </c>
      <c r="AD120" s="132"/>
      <c r="AE120" s="133"/>
      <c r="AF120" s="134"/>
      <c r="AG120" s="135"/>
      <c r="AH120" s="135"/>
      <c r="AI120" s="133"/>
      <c r="AJ120" s="134"/>
    </row>
    <row r="121" spans="1:36" hidden="1" x14ac:dyDescent="0.3">
      <c r="A121" s="215"/>
      <c r="B121" s="218"/>
      <c r="C121" s="218"/>
      <c r="D121" s="218"/>
      <c r="E121" s="221"/>
      <c r="F121" s="218"/>
      <c r="G121" s="224"/>
      <c r="H121" s="227"/>
      <c r="I121" s="209"/>
      <c r="J121" s="230"/>
      <c r="K121" s="209">
        <f t="shared" ca="1" si="118"/>
        <v>0</v>
      </c>
      <c r="L121" s="227"/>
      <c r="M121" s="209"/>
      <c r="N121" s="212"/>
      <c r="O121" s="139">
        <v>6</v>
      </c>
      <c r="P121" s="124"/>
      <c r="Q121" s="125" t="str">
        <f t="shared" si="122"/>
        <v/>
      </c>
      <c r="R121" s="126"/>
      <c r="S121" s="126"/>
      <c r="T121" s="127" t="str">
        <f t="shared" si="119"/>
        <v/>
      </c>
      <c r="U121" s="126"/>
      <c r="V121" s="126"/>
      <c r="W121" s="126"/>
      <c r="X121" s="128" t="str">
        <f t="shared" si="123"/>
        <v/>
      </c>
      <c r="Y121" s="129" t="str">
        <f t="shared" si="78"/>
        <v/>
      </c>
      <c r="Z121" s="130" t="str">
        <f t="shared" si="120"/>
        <v/>
      </c>
      <c r="AA121" s="129" t="str">
        <f t="shared" si="80"/>
        <v/>
      </c>
      <c r="AB121" s="138" t="str">
        <f t="shared" si="124"/>
        <v/>
      </c>
      <c r="AC121" s="131" t="str">
        <f t="shared" si="125"/>
        <v/>
      </c>
      <c r="AD121" s="132"/>
      <c r="AE121" s="133"/>
      <c r="AF121" s="134"/>
      <c r="AG121" s="135"/>
      <c r="AH121" s="135"/>
      <c r="AI121" s="133"/>
      <c r="AJ121" s="134"/>
    </row>
    <row r="122" spans="1:36" hidden="1" x14ac:dyDescent="0.3">
      <c r="A122" s="213">
        <v>8</v>
      </c>
      <c r="B122" s="216"/>
      <c r="C122" s="216"/>
      <c r="D122" s="216"/>
      <c r="E122" s="219"/>
      <c r="F122" s="216"/>
      <c r="G122" s="222"/>
      <c r="H122" s="225" t="str">
        <f>IF(G122&lt;=0,"",IF(G122&lt;=2,"Muy Baja",IF(G122&lt;=24,"Baja",IF(G122&lt;=500,"Media",IF(G122&lt;=5000,"Alta","Muy Alta")))))</f>
        <v/>
      </c>
      <c r="I122" s="207" t="str">
        <f>IF(H122="","",IF(H122="Muy Baja",0.2,IF(H122="Baja",0.4,IF(H122="Media",0.6,IF(H122="Alta",0.8,IF(H122="Muy Alta",1,))))))</f>
        <v/>
      </c>
      <c r="J122" s="228"/>
      <c r="K122" s="207">
        <f>IF(NOT(ISERROR(MATCH(J122,#REF!,0))),#REF!&amp;"Por favor no seleccionar los criterios de impacto(Afectación Económica o presupuestal y Pérdida Reputacional)",J122)</f>
        <v>0</v>
      </c>
      <c r="L122" s="225" t="e">
        <f>IF(OR(K122=#REF!,K122=#REF!),"Leve",IF(OR(K122=#REF!,K122=#REF!),"Menor",IF(OR(K122=#REF!,K122=#REF!),"Moderado",IF(OR(K122=#REF!,K122=#REF!),"Mayor",IF(OR(K122=#REF!,K122=#REF!),"Catastrófico","")))))</f>
        <v>#REF!</v>
      </c>
      <c r="M122" s="207" t="e">
        <f>IF(L122="","",IF(L122="Leve",0.2,IF(L122="Menor",0.4,IF(L122="Moderado",0.6,IF(L122="Mayor",0.8,IF(L122="Catastrófico",1,))))))</f>
        <v>#REF!</v>
      </c>
      <c r="N122" s="210" t="e">
        <f>IF(OR(AND(H122="Muy Baja",L122="Leve"),AND(H122="Muy Baja",L122="Menor"),AND(H122="Baja",L122="Leve")),"Bajo",IF(OR(AND(H122="Muy baja",L122="Moderado"),AND(H122="Baja",L122="Menor"),AND(H122="Baja",L122="Moderado"),AND(H122="Media",L122="Leve"),AND(H122="Media",L122="Menor"),AND(H122="Media",L122="Moderado"),AND(H122="Alta",L122="Leve"),AND(H122="Alta",L122="Menor")),"Moderado",IF(OR(AND(H122="Muy Baja",L122="Mayor"),AND(H122="Baja",L122="Mayor"),AND(H122="Media",L122="Mayor"),AND(H122="Alta",L122="Moderado"),AND(H122="Alta",L122="Mayor"),AND(H122="Muy Alta",L122="Leve"),AND(H122="Muy Alta",L122="Menor"),AND(H122="Muy Alta",L122="Moderado"),AND(H122="Muy Alta",L122="Mayor")),"Alto",IF(OR(AND(H122="Muy Baja",L122="Catastrófico"),AND(H122="Baja",L122="Catastrófico"),AND(H122="Media",L122="Catastrófico"),AND(H122="Alta",L122="Catastrófico"),AND(H122="Muy Alta",L122="Catastrófico")),"Extremo",""))))</f>
        <v>#REF!</v>
      </c>
      <c r="O122" s="139">
        <v>1</v>
      </c>
      <c r="P122" s="124"/>
      <c r="Q122" s="125" t="str">
        <f>IF(OR(R122="Preventivo",R122="Detectivo"),"Probabilidad",IF(R122="Correctivo","Impacto",""))</f>
        <v/>
      </c>
      <c r="R122" s="126"/>
      <c r="S122" s="126"/>
      <c r="T122" s="127" t="str">
        <f>IF(AND(R122="Preventivo",S122="Automático"),"50%",IF(AND(R122="Preventivo",S122="Manual"),"40%",IF(AND(R122="Detectivo",S122="Automático"),"40%",IF(AND(R122="Detectivo",S122="Manual"),"30%",IF(AND(R122="Correctivo",S122="Automático"),"35%",IF(AND(R122="Correctivo",S122="Manual"),"25%",""))))))</f>
        <v/>
      </c>
      <c r="U122" s="126"/>
      <c r="V122" s="126"/>
      <c r="W122" s="126"/>
      <c r="X122" s="128" t="str">
        <f>IFERROR(IF(Q122="Probabilidad",(I122-(+I122*T122)),IF(Q122="Impacto",I122,"")),"")</f>
        <v/>
      </c>
      <c r="Y122" s="129" t="str">
        <f>IFERROR(IF(X122="","",IF(X122&lt;=0.2,"Muy Baja",IF(X122&lt;=0.4,"Baja",IF(X122&lt;=0.6,"Media",IF(X122&lt;=0.8,"Alta","Muy Alta"))))),"")</f>
        <v/>
      </c>
      <c r="Z122" s="130" t="str">
        <f>+X122</f>
        <v/>
      </c>
      <c r="AA122" s="129" t="str">
        <f>IFERROR(IF(AB122="","",IF(AB122&lt;=0.2,"Leve",IF(AB122&lt;=0.4,"Menor",IF(AB122&lt;=0.6,"Moderado",IF(AB122&lt;=0.8,"Mayor","Catastrófico"))))),"")</f>
        <v/>
      </c>
      <c r="AB122" s="138" t="str">
        <f>IFERROR(IF(Q122="Impacto",(M122-(+M122*T122)),IF(Q122="Probabilidad",M122,"")),"")</f>
        <v/>
      </c>
      <c r="AC122" s="131" t="str">
        <f>IFERROR(IF(OR(AND(Y122="Muy Baja",AA122="Leve"),AND(Y122="Muy Baja",AA122="Menor"),AND(Y122="Baja",AA122="Leve")),"Bajo",IF(OR(AND(Y122="Muy baja",AA122="Moderado"),AND(Y122="Baja",AA122="Menor"),AND(Y122="Baja",AA122="Moderado"),AND(Y122="Media",AA122="Leve"),AND(Y122="Media",AA122="Menor"),AND(Y122="Media",AA122="Moderado"),AND(Y122="Alta",AA122="Leve"),AND(Y122="Alta",AA122="Menor")),"Moderado",IF(OR(AND(Y122="Muy Baja",AA122="Mayor"),AND(Y122="Baja",AA122="Mayor"),AND(Y122="Media",AA122="Mayor"),AND(Y122="Alta",AA122="Moderado"),AND(Y122="Alta",AA122="Mayor"),AND(Y122="Muy Alta",AA122="Leve"),AND(Y122="Muy Alta",AA122="Menor"),AND(Y122="Muy Alta",AA122="Moderado"),AND(Y122="Muy Alta",AA122="Mayor")),"Alto",IF(OR(AND(Y122="Muy Baja",AA122="Catastrófico"),AND(Y122="Baja",AA122="Catastrófico"),AND(Y122="Media",AA122="Catastrófico"),AND(Y122="Alta",AA122="Catastrófico"),AND(Y122="Muy Alta",AA122="Catastrófico")),"Extremo","")))),"")</f>
        <v/>
      </c>
      <c r="AD122" s="132"/>
      <c r="AE122" s="133"/>
      <c r="AF122" s="134"/>
      <c r="AG122" s="135"/>
      <c r="AH122" s="135"/>
      <c r="AI122" s="133"/>
      <c r="AJ122" s="134"/>
    </row>
    <row r="123" spans="1:36" hidden="1" x14ac:dyDescent="0.3">
      <c r="A123" s="214"/>
      <c r="B123" s="217"/>
      <c r="C123" s="217"/>
      <c r="D123" s="217"/>
      <c r="E123" s="220"/>
      <c r="F123" s="217"/>
      <c r="G123" s="223"/>
      <c r="H123" s="226"/>
      <c r="I123" s="208"/>
      <c r="J123" s="229"/>
      <c r="K123" s="208">
        <f ca="1">IF(NOT(ISERROR(MATCH(J123,_xlfn.ANCHORARRAY(E134),0))),I136&amp;"Por favor no seleccionar los criterios de impacto",J123)</f>
        <v>0</v>
      </c>
      <c r="L123" s="226"/>
      <c r="M123" s="208"/>
      <c r="N123" s="211"/>
      <c r="O123" s="139">
        <v>2</v>
      </c>
      <c r="P123" s="124"/>
      <c r="Q123" s="125" t="str">
        <f>IF(OR(R123="Preventivo",R123="Detectivo"),"Probabilidad",IF(R123="Correctivo","Impacto",""))</f>
        <v/>
      </c>
      <c r="R123" s="126"/>
      <c r="S123" s="126"/>
      <c r="T123" s="127" t="str">
        <f t="shared" ref="T123:T127" si="126">IF(AND(R123="Preventivo",S123="Automático"),"50%",IF(AND(R123="Preventivo",S123="Manual"),"40%",IF(AND(R123="Detectivo",S123="Automático"),"40%",IF(AND(R123="Detectivo",S123="Manual"),"30%",IF(AND(R123="Correctivo",S123="Automático"),"35%",IF(AND(R123="Correctivo",S123="Manual"),"25%",""))))))</f>
        <v/>
      </c>
      <c r="U123" s="126"/>
      <c r="V123" s="126"/>
      <c r="W123" s="126"/>
      <c r="X123" s="128" t="str">
        <f>IFERROR(IF(AND(Q122="Probabilidad",Q123="Probabilidad"),(Z122-(+Z122*T123)),IF(Q123="Probabilidad",(I122-(+I122*T123)),IF(Q123="Impacto",Z122,""))),"")</f>
        <v/>
      </c>
      <c r="Y123" s="129" t="str">
        <f t="shared" si="78"/>
        <v/>
      </c>
      <c r="Z123" s="130" t="str">
        <f t="shared" ref="Z123:Z127" si="127">+X123</f>
        <v/>
      </c>
      <c r="AA123" s="129" t="str">
        <f t="shared" si="80"/>
        <v/>
      </c>
      <c r="AB123" s="138" t="str">
        <f>IFERROR(IF(AND(Q122="Impacto",Q123="Impacto"),(AB122-(+AB122*T123)),IF(Q123="Impacto",(M122-(+M122*T123)),IF(Q123="Probabilidad",AB122,""))),"")</f>
        <v/>
      </c>
      <c r="AC123" s="131" t="str">
        <f t="shared" ref="AC123:AC124" si="128">IFERROR(IF(OR(AND(Y123="Muy Baja",AA123="Leve"),AND(Y123="Muy Baja",AA123="Menor"),AND(Y123="Baja",AA123="Leve")),"Bajo",IF(OR(AND(Y123="Muy baja",AA123="Moderado"),AND(Y123="Baja",AA123="Menor"),AND(Y123="Baja",AA123="Moderado"),AND(Y123="Media",AA123="Leve"),AND(Y123="Media",AA123="Menor"),AND(Y123="Media",AA123="Moderado"),AND(Y123="Alta",AA123="Leve"),AND(Y123="Alta",AA123="Menor")),"Moderado",IF(OR(AND(Y123="Muy Baja",AA123="Mayor"),AND(Y123="Baja",AA123="Mayor"),AND(Y123="Media",AA123="Mayor"),AND(Y123="Alta",AA123="Moderado"),AND(Y123="Alta",AA123="Mayor"),AND(Y123="Muy Alta",AA123="Leve"),AND(Y123="Muy Alta",AA123="Menor"),AND(Y123="Muy Alta",AA123="Moderado"),AND(Y123="Muy Alta",AA123="Mayor")),"Alto",IF(OR(AND(Y123="Muy Baja",AA123="Catastrófico"),AND(Y123="Baja",AA123="Catastrófico"),AND(Y123="Media",AA123="Catastrófico"),AND(Y123="Alta",AA123="Catastrófico"),AND(Y123="Muy Alta",AA123="Catastrófico")),"Extremo","")))),"")</f>
        <v/>
      </c>
      <c r="AD123" s="132"/>
      <c r="AE123" s="133"/>
      <c r="AF123" s="134"/>
      <c r="AG123" s="135"/>
      <c r="AH123" s="135"/>
      <c r="AI123" s="133"/>
      <c r="AJ123" s="134"/>
    </row>
    <row r="124" spans="1:36" hidden="1" x14ac:dyDescent="0.3">
      <c r="A124" s="214"/>
      <c r="B124" s="217"/>
      <c r="C124" s="217"/>
      <c r="D124" s="217"/>
      <c r="E124" s="220"/>
      <c r="F124" s="217"/>
      <c r="G124" s="223"/>
      <c r="H124" s="226"/>
      <c r="I124" s="208"/>
      <c r="J124" s="229"/>
      <c r="K124" s="208">
        <f ca="1">IF(NOT(ISERROR(MATCH(J124,_xlfn.ANCHORARRAY(E135),0))),I137&amp;"Por favor no seleccionar los criterios de impacto",J124)</f>
        <v>0</v>
      </c>
      <c r="L124" s="226"/>
      <c r="M124" s="208"/>
      <c r="N124" s="211"/>
      <c r="O124" s="139">
        <v>3</v>
      </c>
      <c r="P124" s="136"/>
      <c r="Q124" s="125" t="str">
        <f>IF(OR(R124="Preventivo",R124="Detectivo"),"Probabilidad",IF(R124="Correctivo","Impacto",""))</f>
        <v/>
      </c>
      <c r="R124" s="126"/>
      <c r="S124" s="126"/>
      <c r="T124" s="127" t="str">
        <f t="shared" si="126"/>
        <v/>
      </c>
      <c r="U124" s="126"/>
      <c r="V124" s="126"/>
      <c r="W124" s="126"/>
      <c r="X124" s="128" t="str">
        <f>IFERROR(IF(AND(Q123="Probabilidad",Q124="Probabilidad"),(Z123-(+Z123*T124)),IF(AND(Q123="Impacto",Q124="Probabilidad"),(Z122-(+Z122*T124)),IF(Q124="Impacto",Z123,""))),"")</f>
        <v/>
      </c>
      <c r="Y124" s="129" t="str">
        <f t="shared" si="78"/>
        <v/>
      </c>
      <c r="Z124" s="130" t="str">
        <f t="shared" si="127"/>
        <v/>
      </c>
      <c r="AA124" s="129" t="str">
        <f t="shared" si="80"/>
        <v/>
      </c>
      <c r="AB124" s="138" t="str">
        <f>IFERROR(IF(AND(Q123="Impacto",Q124="Impacto"),(AB123-(+AB123*T124)),IF(AND(Q123="Probabilidad",Q124="Impacto"),(AB122-(+AB122*T124)),IF(Q124="Probabilidad",AB123,""))),"")</f>
        <v/>
      </c>
      <c r="AC124" s="131" t="str">
        <f t="shared" si="128"/>
        <v/>
      </c>
      <c r="AD124" s="132"/>
      <c r="AE124" s="133"/>
      <c r="AF124" s="134"/>
      <c r="AG124" s="135"/>
      <c r="AH124" s="135"/>
      <c r="AI124" s="133"/>
      <c r="AJ124" s="134"/>
    </row>
    <row r="125" spans="1:36" hidden="1" x14ac:dyDescent="0.3">
      <c r="A125" s="214"/>
      <c r="B125" s="217"/>
      <c r="C125" s="217"/>
      <c r="D125" s="217"/>
      <c r="E125" s="220"/>
      <c r="F125" s="217"/>
      <c r="G125" s="223"/>
      <c r="H125" s="226"/>
      <c r="I125" s="208"/>
      <c r="J125" s="229"/>
      <c r="K125" s="208">
        <f ca="1">IF(NOT(ISERROR(MATCH(J125,_xlfn.ANCHORARRAY(E136),0))),I138&amp;"Por favor no seleccionar los criterios de impacto",J125)</f>
        <v>0</v>
      </c>
      <c r="L125" s="226"/>
      <c r="M125" s="208"/>
      <c r="N125" s="211"/>
      <c r="O125" s="139">
        <v>4</v>
      </c>
      <c r="P125" s="124"/>
      <c r="Q125" s="125" t="str">
        <f t="shared" ref="Q125:Q127" si="129">IF(OR(R125="Preventivo",R125="Detectivo"),"Probabilidad",IF(R125="Correctivo","Impacto",""))</f>
        <v/>
      </c>
      <c r="R125" s="126"/>
      <c r="S125" s="126"/>
      <c r="T125" s="127" t="str">
        <f t="shared" si="126"/>
        <v/>
      </c>
      <c r="U125" s="126"/>
      <c r="V125" s="126"/>
      <c r="W125" s="126"/>
      <c r="X125" s="128" t="str">
        <f t="shared" ref="X125:X127" si="130">IFERROR(IF(AND(Q124="Probabilidad",Q125="Probabilidad"),(Z124-(+Z124*T125)),IF(AND(Q124="Impacto",Q125="Probabilidad"),(Z123-(+Z123*T125)),IF(Q125="Impacto",Z124,""))),"")</f>
        <v/>
      </c>
      <c r="Y125" s="129" t="str">
        <f t="shared" si="78"/>
        <v/>
      </c>
      <c r="Z125" s="130" t="str">
        <f t="shared" si="127"/>
        <v/>
      </c>
      <c r="AA125" s="129" t="str">
        <f t="shared" si="80"/>
        <v/>
      </c>
      <c r="AB125" s="138" t="str">
        <f t="shared" ref="AB125:AB127" si="131">IFERROR(IF(AND(Q124="Impacto",Q125="Impacto"),(AB124-(+AB124*T125)),IF(AND(Q124="Probabilidad",Q125="Impacto"),(AB123-(+AB123*T125)),IF(Q125="Probabilidad",AB124,""))),"")</f>
        <v/>
      </c>
      <c r="AC125" s="131" t="str">
        <f>IFERROR(IF(OR(AND(Y125="Muy Baja",AA125="Leve"),AND(Y125="Muy Baja",AA125="Menor"),AND(Y125="Baja",AA125="Leve")),"Bajo",IF(OR(AND(Y125="Muy baja",AA125="Moderado"),AND(Y125="Baja",AA125="Menor"),AND(Y125="Baja",AA125="Moderado"),AND(Y125="Media",AA125="Leve"),AND(Y125="Media",AA125="Menor"),AND(Y125="Media",AA125="Moderado"),AND(Y125="Alta",AA125="Leve"),AND(Y125="Alta",AA125="Menor")),"Moderado",IF(OR(AND(Y125="Muy Baja",AA125="Mayor"),AND(Y125="Baja",AA125="Mayor"),AND(Y125="Media",AA125="Mayor"),AND(Y125="Alta",AA125="Moderado"),AND(Y125="Alta",AA125="Mayor"),AND(Y125="Muy Alta",AA125="Leve"),AND(Y125="Muy Alta",AA125="Menor"),AND(Y125="Muy Alta",AA125="Moderado"),AND(Y125="Muy Alta",AA125="Mayor")),"Alto",IF(OR(AND(Y125="Muy Baja",AA125="Catastrófico"),AND(Y125="Baja",AA125="Catastrófico"),AND(Y125="Media",AA125="Catastrófico"),AND(Y125="Alta",AA125="Catastrófico"),AND(Y125="Muy Alta",AA125="Catastrófico")),"Extremo","")))),"")</f>
        <v/>
      </c>
      <c r="AD125" s="132"/>
      <c r="AE125" s="133"/>
      <c r="AF125" s="134"/>
      <c r="AG125" s="135"/>
      <c r="AH125" s="135"/>
      <c r="AI125" s="133"/>
      <c r="AJ125" s="134"/>
    </row>
    <row r="126" spans="1:36" hidden="1" x14ac:dyDescent="0.3">
      <c r="A126" s="214"/>
      <c r="B126" s="217"/>
      <c r="C126" s="217"/>
      <c r="D126" s="217"/>
      <c r="E126" s="220"/>
      <c r="F126" s="217"/>
      <c r="G126" s="223"/>
      <c r="H126" s="226"/>
      <c r="I126" s="208"/>
      <c r="J126" s="229"/>
      <c r="K126" s="208">
        <f ca="1">IF(NOT(ISERROR(MATCH(J126,_xlfn.ANCHORARRAY(E137),0))),I139&amp;"Por favor no seleccionar los criterios de impacto",J126)</f>
        <v>0</v>
      </c>
      <c r="L126" s="226"/>
      <c r="M126" s="208"/>
      <c r="N126" s="211"/>
      <c r="O126" s="139">
        <v>5</v>
      </c>
      <c r="P126" s="124"/>
      <c r="Q126" s="125" t="str">
        <f t="shared" si="129"/>
        <v/>
      </c>
      <c r="R126" s="126"/>
      <c r="S126" s="126"/>
      <c r="T126" s="127" t="str">
        <f t="shared" si="126"/>
        <v/>
      </c>
      <c r="U126" s="126"/>
      <c r="V126" s="126"/>
      <c r="W126" s="126"/>
      <c r="X126" s="128" t="str">
        <f t="shared" si="130"/>
        <v/>
      </c>
      <c r="Y126" s="129" t="str">
        <f t="shared" si="78"/>
        <v/>
      </c>
      <c r="Z126" s="130" t="str">
        <f t="shared" si="127"/>
        <v/>
      </c>
      <c r="AA126" s="129" t="str">
        <f t="shared" si="80"/>
        <v/>
      </c>
      <c r="AB126" s="138" t="str">
        <f t="shared" si="131"/>
        <v/>
      </c>
      <c r="AC126" s="131" t="str">
        <f t="shared" ref="AC126:AC127" si="132">IFERROR(IF(OR(AND(Y126="Muy Baja",AA126="Leve"),AND(Y126="Muy Baja",AA126="Menor"),AND(Y126="Baja",AA126="Leve")),"Bajo",IF(OR(AND(Y126="Muy baja",AA126="Moderado"),AND(Y126="Baja",AA126="Menor"),AND(Y126="Baja",AA126="Moderado"),AND(Y126="Media",AA126="Leve"),AND(Y126="Media",AA126="Menor"),AND(Y126="Media",AA126="Moderado"),AND(Y126="Alta",AA126="Leve"),AND(Y126="Alta",AA126="Menor")),"Moderado",IF(OR(AND(Y126="Muy Baja",AA126="Mayor"),AND(Y126="Baja",AA126="Mayor"),AND(Y126="Media",AA126="Mayor"),AND(Y126="Alta",AA126="Moderado"),AND(Y126="Alta",AA126="Mayor"),AND(Y126="Muy Alta",AA126="Leve"),AND(Y126="Muy Alta",AA126="Menor"),AND(Y126="Muy Alta",AA126="Moderado"),AND(Y126="Muy Alta",AA126="Mayor")),"Alto",IF(OR(AND(Y126="Muy Baja",AA126="Catastrófico"),AND(Y126="Baja",AA126="Catastrófico"),AND(Y126="Media",AA126="Catastrófico"),AND(Y126="Alta",AA126="Catastrófico"),AND(Y126="Muy Alta",AA126="Catastrófico")),"Extremo","")))),"")</f>
        <v/>
      </c>
      <c r="AD126" s="132"/>
      <c r="AE126" s="133"/>
      <c r="AF126" s="134"/>
      <c r="AG126" s="135"/>
      <c r="AH126" s="135"/>
      <c r="AI126" s="133"/>
      <c r="AJ126" s="134"/>
    </row>
    <row r="127" spans="1:36" hidden="1" x14ac:dyDescent="0.3">
      <c r="A127" s="215"/>
      <c r="B127" s="218"/>
      <c r="C127" s="218"/>
      <c r="D127" s="218"/>
      <c r="E127" s="221"/>
      <c r="F127" s="218"/>
      <c r="G127" s="224"/>
      <c r="H127" s="227"/>
      <c r="I127" s="209"/>
      <c r="J127" s="230"/>
      <c r="K127" s="209">
        <f ca="1">IF(NOT(ISERROR(MATCH(J127,_xlfn.ANCHORARRAY(E138),0))),I140&amp;"Por favor no seleccionar los criterios de impacto",J127)</f>
        <v>0</v>
      </c>
      <c r="L127" s="227"/>
      <c r="M127" s="209"/>
      <c r="N127" s="212"/>
      <c r="O127" s="139">
        <v>6</v>
      </c>
      <c r="P127" s="124"/>
      <c r="Q127" s="125" t="str">
        <f t="shared" si="129"/>
        <v/>
      </c>
      <c r="R127" s="126"/>
      <c r="S127" s="126"/>
      <c r="T127" s="127" t="str">
        <f t="shared" si="126"/>
        <v/>
      </c>
      <c r="U127" s="126"/>
      <c r="V127" s="126"/>
      <c r="W127" s="126"/>
      <c r="X127" s="128" t="str">
        <f t="shared" si="130"/>
        <v/>
      </c>
      <c r="Y127" s="129" t="str">
        <f t="shared" si="78"/>
        <v/>
      </c>
      <c r="Z127" s="130" t="str">
        <f t="shared" si="127"/>
        <v/>
      </c>
      <c r="AA127" s="129" t="str">
        <f t="shared" si="80"/>
        <v/>
      </c>
      <c r="AB127" s="138" t="str">
        <f t="shared" si="131"/>
        <v/>
      </c>
      <c r="AC127" s="131" t="str">
        <f t="shared" si="132"/>
        <v/>
      </c>
      <c r="AD127" s="132"/>
      <c r="AE127" s="133"/>
      <c r="AF127" s="134"/>
      <c r="AG127" s="135"/>
      <c r="AH127" s="135"/>
      <c r="AI127" s="133"/>
      <c r="AJ127" s="134"/>
    </row>
    <row r="128" spans="1:36" hidden="1" x14ac:dyDescent="0.3">
      <c r="A128" s="213">
        <v>9</v>
      </c>
      <c r="B128" s="216"/>
      <c r="C128" s="216"/>
      <c r="D128" s="216"/>
      <c r="E128" s="219"/>
      <c r="F128" s="216"/>
      <c r="G128" s="222"/>
      <c r="H128" s="225" t="str">
        <f>IF(G128&lt;=0,"",IF(G128&lt;=2,"Muy Baja",IF(G128&lt;=24,"Baja",IF(G128&lt;=500,"Media",IF(G128&lt;=5000,"Alta","Muy Alta")))))</f>
        <v/>
      </c>
      <c r="I128" s="207" t="str">
        <f>IF(H128="","",IF(H128="Muy Baja",0.2,IF(H128="Baja",0.4,IF(H128="Media",0.6,IF(H128="Alta",0.8,IF(H128="Muy Alta",1,))))))</f>
        <v/>
      </c>
      <c r="J128" s="228"/>
      <c r="K128" s="207">
        <f>IF(NOT(ISERROR(MATCH(J128,#REF!,0))),#REF!&amp;"Por favor no seleccionar los criterios de impacto(Afectación Económica o presupuestal y Pérdida Reputacional)",J128)</f>
        <v>0</v>
      </c>
      <c r="L128" s="225" t="e">
        <f>IF(OR(K128=#REF!,K128=#REF!),"Leve",IF(OR(K128=#REF!,K128=#REF!),"Menor",IF(OR(K128=#REF!,K128=#REF!),"Moderado",IF(OR(K128=#REF!,K128=#REF!),"Mayor",IF(OR(K128=#REF!,K128=#REF!),"Catastrófico","")))))</f>
        <v>#REF!</v>
      </c>
      <c r="M128" s="207" t="e">
        <f>IF(L128="","",IF(L128="Leve",0.2,IF(L128="Menor",0.4,IF(L128="Moderado",0.6,IF(L128="Mayor",0.8,IF(L128="Catastrófico",1,))))))</f>
        <v>#REF!</v>
      </c>
      <c r="N128" s="210" t="e">
        <f>IF(OR(AND(H128="Muy Baja",L128="Leve"),AND(H128="Muy Baja",L128="Menor"),AND(H128="Baja",L128="Leve")),"Bajo",IF(OR(AND(H128="Muy baja",L128="Moderado"),AND(H128="Baja",L128="Menor"),AND(H128="Baja",L128="Moderado"),AND(H128="Media",L128="Leve"),AND(H128="Media",L128="Menor"),AND(H128="Media",L128="Moderado"),AND(H128="Alta",L128="Leve"),AND(H128="Alta",L128="Menor")),"Moderado",IF(OR(AND(H128="Muy Baja",L128="Mayor"),AND(H128="Baja",L128="Mayor"),AND(H128="Media",L128="Mayor"),AND(H128="Alta",L128="Moderado"),AND(H128="Alta",L128="Mayor"),AND(H128="Muy Alta",L128="Leve"),AND(H128="Muy Alta",L128="Menor"),AND(H128="Muy Alta",L128="Moderado"),AND(H128="Muy Alta",L128="Mayor")),"Alto",IF(OR(AND(H128="Muy Baja",L128="Catastrófico"),AND(H128="Baja",L128="Catastrófico"),AND(H128="Media",L128="Catastrófico"),AND(H128="Alta",L128="Catastrófico"),AND(H128="Muy Alta",L128="Catastrófico")),"Extremo",""))))</f>
        <v>#REF!</v>
      </c>
      <c r="O128" s="139">
        <v>1</v>
      </c>
      <c r="P128" s="124"/>
      <c r="Q128" s="125" t="str">
        <f>IF(OR(R128="Preventivo",R128="Detectivo"),"Probabilidad",IF(R128="Correctivo","Impacto",""))</f>
        <v/>
      </c>
      <c r="R128" s="126"/>
      <c r="S128" s="126"/>
      <c r="T128" s="127" t="str">
        <f>IF(AND(R128="Preventivo",S128="Automático"),"50%",IF(AND(R128="Preventivo",S128="Manual"),"40%",IF(AND(R128="Detectivo",S128="Automático"),"40%",IF(AND(R128="Detectivo",S128="Manual"),"30%",IF(AND(R128="Correctivo",S128="Automático"),"35%",IF(AND(R128="Correctivo",S128="Manual"),"25%",""))))))</f>
        <v/>
      </c>
      <c r="U128" s="126"/>
      <c r="V128" s="126"/>
      <c r="W128" s="126"/>
      <c r="X128" s="128" t="str">
        <f>IFERROR(IF(Q128="Probabilidad",(I128-(+I128*T128)),IF(Q128="Impacto",I128,"")),"")</f>
        <v/>
      </c>
      <c r="Y128" s="129" t="str">
        <f>IFERROR(IF(X128="","",IF(X128&lt;=0.2,"Muy Baja",IF(X128&lt;=0.4,"Baja",IF(X128&lt;=0.6,"Media",IF(X128&lt;=0.8,"Alta","Muy Alta"))))),"")</f>
        <v/>
      </c>
      <c r="Z128" s="130" t="str">
        <f>+X128</f>
        <v/>
      </c>
      <c r="AA128" s="129" t="str">
        <f>IFERROR(IF(AB128="","",IF(AB128&lt;=0.2,"Leve",IF(AB128&lt;=0.4,"Menor",IF(AB128&lt;=0.6,"Moderado",IF(AB128&lt;=0.8,"Mayor","Catastrófico"))))),"")</f>
        <v/>
      </c>
      <c r="AB128" s="138" t="str">
        <f>IFERROR(IF(Q128="Impacto",(M128-(+M128*T128)),IF(Q128="Probabilidad",M128,"")),"")</f>
        <v/>
      </c>
      <c r="AC128" s="131" t="str">
        <f>IFERROR(IF(OR(AND(Y128="Muy Baja",AA128="Leve"),AND(Y128="Muy Baja",AA128="Menor"),AND(Y128="Baja",AA128="Leve")),"Bajo",IF(OR(AND(Y128="Muy baja",AA128="Moderado"),AND(Y128="Baja",AA128="Menor"),AND(Y128="Baja",AA128="Moderado"),AND(Y128="Media",AA128="Leve"),AND(Y128="Media",AA128="Menor"),AND(Y128="Media",AA128="Moderado"),AND(Y128="Alta",AA128="Leve"),AND(Y128="Alta",AA128="Menor")),"Moderado",IF(OR(AND(Y128="Muy Baja",AA128="Mayor"),AND(Y128="Baja",AA128="Mayor"),AND(Y128="Media",AA128="Mayor"),AND(Y128="Alta",AA128="Moderado"),AND(Y128="Alta",AA128="Mayor"),AND(Y128="Muy Alta",AA128="Leve"),AND(Y128="Muy Alta",AA128="Menor"),AND(Y128="Muy Alta",AA128="Moderado"),AND(Y128="Muy Alta",AA128="Mayor")),"Alto",IF(OR(AND(Y128="Muy Baja",AA128="Catastrófico"),AND(Y128="Baja",AA128="Catastrófico"),AND(Y128="Media",AA128="Catastrófico"),AND(Y128="Alta",AA128="Catastrófico"),AND(Y128="Muy Alta",AA128="Catastrófico")),"Extremo","")))),"")</f>
        <v/>
      </c>
      <c r="AD128" s="132"/>
      <c r="AE128" s="133"/>
      <c r="AF128" s="134"/>
      <c r="AG128" s="135"/>
      <c r="AH128" s="135"/>
      <c r="AI128" s="133"/>
      <c r="AJ128" s="134"/>
    </row>
    <row r="129" spans="1:36" hidden="1" x14ac:dyDescent="0.3">
      <c r="A129" s="214"/>
      <c r="B129" s="217"/>
      <c r="C129" s="217"/>
      <c r="D129" s="217"/>
      <c r="E129" s="220"/>
      <c r="F129" s="217"/>
      <c r="G129" s="223"/>
      <c r="H129" s="226"/>
      <c r="I129" s="208"/>
      <c r="J129" s="229"/>
      <c r="K129" s="208">
        <f ca="1">IF(NOT(ISERROR(MATCH(J129,_xlfn.ANCHORARRAY(E140),0))),I142&amp;"Por favor no seleccionar los criterios de impacto",J129)</f>
        <v>0</v>
      </c>
      <c r="L129" s="226"/>
      <c r="M129" s="208"/>
      <c r="N129" s="211"/>
      <c r="O129" s="139">
        <v>2</v>
      </c>
      <c r="P129" s="124"/>
      <c r="Q129" s="125" t="str">
        <f>IF(OR(R129="Preventivo",R129="Detectivo"),"Probabilidad",IF(R129="Correctivo","Impacto",""))</f>
        <v/>
      </c>
      <c r="R129" s="126"/>
      <c r="S129" s="126"/>
      <c r="T129" s="127" t="str">
        <f t="shared" ref="T129:T133" si="133">IF(AND(R129="Preventivo",S129="Automático"),"50%",IF(AND(R129="Preventivo",S129="Manual"),"40%",IF(AND(R129="Detectivo",S129="Automático"),"40%",IF(AND(R129="Detectivo",S129="Manual"),"30%",IF(AND(R129="Correctivo",S129="Automático"),"35%",IF(AND(R129="Correctivo",S129="Manual"),"25%",""))))))</f>
        <v/>
      </c>
      <c r="U129" s="126"/>
      <c r="V129" s="126"/>
      <c r="W129" s="126"/>
      <c r="X129" s="128" t="str">
        <f>IFERROR(IF(AND(Q128="Probabilidad",Q129="Probabilidad"),(Z128-(+Z128*T129)),IF(Q129="Probabilidad",(I128-(+I128*T129)),IF(Q129="Impacto",Z128,""))),"")</f>
        <v/>
      </c>
      <c r="Y129" s="129" t="str">
        <f t="shared" si="78"/>
        <v/>
      </c>
      <c r="Z129" s="130" t="str">
        <f t="shared" ref="Z129:Z133" si="134">+X129</f>
        <v/>
      </c>
      <c r="AA129" s="129" t="str">
        <f t="shared" si="80"/>
        <v/>
      </c>
      <c r="AB129" s="138" t="str">
        <f>IFERROR(IF(AND(Q128="Impacto",Q129="Impacto"),(AB128-(+AB128*T129)),IF(Q129="Impacto",(M128-(+M128*T129)),IF(Q129="Probabilidad",AB128,""))),"")</f>
        <v/>
      </c>
      <c r="AC129" s="131" t="str">
        <f t="shared" ref="AC129:AC130" si="135">IFERROR(IF(OR(AND(Y129="Muy Baja",AA129="Leve"),AND(Y129="Muy Baja",AA129="Menor"),AND(Y129="Baja",AA129="Leve")),"Bajo",IF(OR(AND(Y129="Muy baja",AA129="Moderado"),AND(Y129="Baja",AA129="Menor"),AND(Y129="Baja",AA129="Moderado"),AND(Y129="Media",AA129="Leve"),AND(Y129="Media",AA129="Menor"),AND(Y129="Media",AA129="Moderado"),AND(Y129="Alta",AA129="Leve"),AND(Y129="Alta",AA129="Menor")),"Moderado",IF(OR(AND(Y129="Muy Baja",AA129="Mayor"),AND(Y129="Baja",AA129="Mayor"),AND(Y129="Media",AA129="Mayor"),AND(Y129="Alta",AA129="Moderado"),AND(Y129="Alta",AA129="Mayor"),AND(Y129="Muy Alta",AA129="Leve"),AND(Y129="Muy Alta",AA129="Menor"),AND(Y129="Muy Alta",AA129="Moderado"),AND(Y129="Muy Alta",AA129="Mayor")),"Alto",IF(OR(AND(Y129="Muy Baja",AA129="Catastrófico"),AND(Y129="Baja",AA129="Catastrófico"),AND(Y129="Media",AA129="Catastrófico"),AND(Y129="Alta",AA129="Catastrófico"),AND(Y129="Muy Alta",AA129="Catastrófico")),"Extremo","")))),"")</f>
        <v/>
      </c>
      <c r="AD129" s="132"/>
      <c r="AE129" s="133"/>
      <c r="AF129" s="134"/>
      <c r="AG129" s="135"/>
      <c r="AH129" s="135"/>
      <c r="AI129" s="133"/>
      <c r="AJ129" s="134"/>
    </row>
    <row r="130" spans="1:36" hidden="1" x14ac:dyDescent="0.3">
      <c r="A130" s="214"/>
      <c r="B130" s="217"/>
      <c r="C130" s="217"/>
      <c r="D130" s="217"/>
      <c r="E130" s="220"/>
      <c r="F130" s="217"/>
      <c r="G130" s="223"/>
      <c r="H130" s="226"/>
      <c r="I130" s="208"/>
      <c r="J130" s="229"/>
      <c r="K130" s="208">
        <f ca="1">IF(NOT(ISERROR(MATCH(J130,_xlfn.ANCHORARRAY(E141),0))),I143&amp;"Por favor no seleccionar los criterios de impacto",J130)</f>
        <v>0</v>
      </c>
      <c r="L130" s="226"/>
      <c r="M130" s="208"/>
      <c r="N130" s="211"/>
      <c r="O130" s="139">
        <v>3</v>
      </c>
      <c r="P130" s="136"/>
      <c r="Q130" s="125" t="str">
        <f>IF(OR(R130="Preventivo",R130="Detectivo"),"Probabilidad",IF(R130="Correctivo","Impacto",""))</f>
        <v/>
      </c>
      <c r="R130" s="126"/>
      <c r="S130" s="126"/>
      <c r="T130" s="127" t="str">
        <f t="shared" si="133"/>
        <v/>
      </c>
      <c r="U130" s="126"/>
      <c r="V130" s="126"/>
      <c r="W130" s="126"/>
      <c r="X130" s="128" t="str">
        <f>IFERROR(IF(AND(Q129="Probabilidad",Q130="Probabilidad"),(Z129-(+Z129*T130)),IF(AND(Q129="Impacto",Q130="Probabilidad"),(Z128-(+Z128*T130)),IF(Q130="Impacto",Z129,""))),"")</f>
        <v/>
      </c>
      <c r="Y130" s="129" t="str">
        <f t="shared" si="78"/>
        <v/>
      </c>
      <c r="Z130" s="130" t="str">
        <f t="shared" si="134"/>
        <v/>
      </c>
      <c r="AA130" s="129" t="str">
        <f t="shared" si="80"/>
        <v/>
      </c>
      <c r="AB130" s="138" t="str">
        <f>IFERROR(IF(AND(Q129="Impacto",Q130="Impacto"),(AB129-(+AB129*T130)),IF(AND(Q129="Probabilidad",Q130="Impacto"),(AB128-(+AB128*T130)),IF(Q130="Probabilidad",AB129,""))),"")</f>
        <v/>
      </c>
      <c r="AC130" s="131" t="str">
        <f t="shared" si="135"/>
        <v/>
      </c>
      <c r="AD130" s="132"/>
      <c r="AE130" s="133"/>
      <c r="AF130" s="134"/>
      <c r="AG130" s="135"/>
      <c r="AH130" s="135"/>
      <c r="AI130" s="133"/>
      <c r="AJ130" s="134"/>
    </row>
    <row r="131" spans="1:36" hidden="1" x14ac:dyDescent="0.3">
      <c r="A131" s="214"/>
      <c r="B131" s="217"/>
      <c r="C131" s="217"/>
      <c r="D131" s="217"/>
      <c r="E131" s="220"/>
      <c r="F131" s="217"/>
      <c r="G131" s="223"/>
      <c r="H131" s="226"/>
      <c r="I131" s="208"/>
      <c r="J131" s="229"/>
      <c r="K131" s="208">
        <f ca="1">IF(NOT(ISERROR(MATCH(J131,_xlfn.ANCHORARRAY(E142),0))),I144&amp;"Por favor no seleccionar los criterios de impacto",J131)</f>
        <v>0</v>
      </c>
      <c r="L131" s="226"/>
      <c r="M131" s="208"/>
      <c r="N131" s="211"/>
      <c r="O131" s="139">
        <v>4</v>
      </c>
      <c r="P131" s="124"/>
      <c r="Q131" s="125" t="str">
        <f t="shared" ref="Q131:Q133" si="136">IF(OR(R131="Preventivo",R131="Detectivo"),"Probabilidad",IF(R131="Correctivo","Impacto",""))</f>
        <v/>
      </c>
      <c r="R131" s="126"/>
      <c r="S131" s="126"/>
      <c r="T131" s="127" t="str">
        <f t="shared" si="133"/>
        <v/>
      </c>
      <c r="U131" s="126"/>
      <c r="V131" s="126"/>
      <c r="W131" s="126"/>
      <c r="X131" s="128" t="str">
        <f t="shared" ref="X131:X133" si="137">IFERROR(IF(AND(Q130="Probabilidad",Q131="Probabilidad"),(Z130-(+Z130*T131)),IF(AND(Q130="Impacto",Q131="Probabilidad"),(Z129-(+Z129*T131)),IF(Q131="Impacto",Z130,""))),"")</f>
        <v/>
      </c>
      <c r="Y131" s="129" t="str">
        <f t="shared" si="78"/>
        <v/>
      </c>
      <c r="Z131" s="130" t="str">
        <f t="shared" si="134"/>
        <v/>
      </c>
      <c r="AA131" s="129" t="str">
        <f t="shared" si="80"/>
        <v/>
      </c>
      <c r="AB131" s="138" t="str">
        <f t="shared" ref="AB131:AB133" si="138">IFERROR(IF(AND(Q130="Impacto",Q131="Impacto"),(AB130-(+AB130*T131)),IF(AND(Q130="Probabilidad",Q131="Impacto"),(AB129-(+AB129*T131)),IF(Q131="Probabilidad",AB130,""))),"")</f>
        <v/>
      </c>
      <c r="AC131" s="131" t="str">
        <f>IFERROR(IF(OR(AND(Y131="Muy Baja",AA131="Leve"),AND(Y131="Muy Baja",AA131="Menor"),AND(Y131="Baja",AA131="Leve")),"Bajo",IF(OR(AND(Y131="Muy baja",AA131="Moderado"),AND(Y131="Baja",AA131="Menor"),AND(Y131="Baja",AA131="Moderado"),AND(Y131="Media",AA131="Leve"),AND(Y131="Media",AA131="Menor"),AND(Y131="Media",AA131="Moderado"),AND(Y131="Alta",AA131="Leve"),AND(Y131="Alta",AA131="Menor")),"Moderado",IF(OR(AND(Y131="Muy Baja",AA131="Mayor"),AND(Y131="Baja",AA131="Mayor"),AND(Y131="Media",AA131="Mayor"),AND(Y131="Alta",AA131="Moderado"),AND(Y131="Alta",AA131="Mayor"),AND(Y131="Muy Alta",AA131="Leve"),AND(Y131="Muy Alta",AA131="Menor"),AND(Y131="Muy Alta",AA131="Moderado"),AND(Y131="Muy Alta",AA131="Mayor")),"Alto",IF(OR(AND(Y131="Muy Baja",AA131="Catastrófico"),AND(Y131="Baja",AA131="Catastrófico"),AND(Y131="Media",AA131="Catastrófico"),AND(Y131="Alta",AA131="Catastrófico"),AND(Y131="Muy Alta",AA131="Catastrófico")),"Extremo","")))),"")</f>
        <v/>
      </c>
      <c r="AD131" s="132"/>
      <c r="AE131" s="133"/>
      <c r="AF131" s="134"/>
      <c r="AG131" s="135"/>
      <c r="AH131" s="135"/>
      <c r="AI131" s="133"/>
      <c r="AJ131" s="134"/>
    </row>
    <row r="132" spans="1:36" hidden="1" x14ac:dyDescent="0.3">
      <c r="A132" s="214"/>
      <c r="B132" s="217"/>
      <c r="C132" s="217"/>
      <c r="D132" s="217"/>
      <c r="E132" s="220"/>
      <c r="F132" s="217"/>
      <c r="G132" s="223"/>
      <c r="H132" s="226"/>
      <c r="I132" s="208"/>
      <c r="J132" s="229"/>
      <c r="K132" s="208">
        <f ca="1">IF(NOT(ISERROR(MATCH(J132,_xlfn.ANCHORARRAY(E143),0))),I145&amp;"Por favor no seleccionar los criterios de impacto",J132)</f>
        <v>0</v>
      </c>
      <c r="L132" s="226"/>
      <c r="M132" s="208"/>
      <c r="N132" s="211"/>
      <c r="O132" s="139">
        <v>5</v>
      </c>
      <c r="P132" s="124"/>
      <c r="Q132" s="125" t="str">
        <f t="shared" si="136"/>
        <v/>
      </c>
      <c r="R132" s="126"/>
      <c r="S132" s="126"/>
      <c r="T132" s="127" t="str">
        <f t="shared" si="133"/>
        <v/>
      </c>
      <c r="U132" s="126"/>
      <c r="V132" s="126"/>
      <c r="W132" s="126"/>
      <c r="X132" s="128" t="str">
        <f t="shared" si="137"/>
        <v/>
      </c>
      <c r="Y132" s="129" t="str">
        <f t="shared" si="78"/>
        <v/>
      </c>
      <c r="Z132" s="130" t="str">
        <f t="shared" si="134"/>
        <v/>
      </c>
      <c r="AA132" s="129" t="str">
        <f t="shared" si="80"/>
        <v/>
      </c>
      <c r="AB132" s="138" t="str">
        <f t="shared" si="138"/>
        <v/>
      </c>
      <c r="AC132" s="131" t="str">
        <f t="shared" ref="AC132:AC133" si="139">IFERROR(IF(OR(AND(Y132="Muy Baja",AA132="Leve"),AND(Y132="Muy Baja",AA132="Menor"),AND(Y132="Baja",AA132="Leve")),"Bajo",IF(OR(AND(Y132="Muy baja",AA132="Moderado"),AND(Y132="Baja",AA132="Menor"),AND(Y132="Baja",AA132="Moderado"),AND(Y132="Media",AA132="Leve"),AND(Y132="Media",AA132="Menor"),AND(Y132="Media",AA132="Moderado"),AND(Y132="Alta",AA132="Leve"),AND(Y132="Alta",AA132="Menor")),"Moderado",IF(OR(AND(Y132="Muy Baja",AA132="Mayor"),AND(Y132="Baja",AA132="Mayor"),AND(Y132="Media",AA132="Mayor"),AND(Y132="Alta",AA132="Moderado"),AND(Y132="Alta",AA132="Mayor"),AND(Y132="Muy Alta",AA132="Leve"),AND(Y132="Muy Alta",AA132="Menor"),AND(Y132="Muy Alta",AA132="Moderado"),AND(Y132="Muy Alta",AA132="Mayor")),"Alto",IF(OR(AND(Y132="Muy Baja",AA132="Catastrófico"),AND(Y132="Baja",AA132="Catastrófico"),AND(Y132="Media",AA132="Catastrófico"),AND(Y132="Alta",AA132="Catastrófico"),AND(Y132="Muy Alta",AA132="Catastrófico")),"Extremo","")))),"")</f>
        <v/>
      </c>
      <c r="AD132" s="132"/>
      <c r="AE132" s="133"/>
      <c r="AF132" s="134"/>
      <c r="AG132" s="135"/>
      <c r="AH132" s="135"/>
      <c r="AI132" s="133"/>
      <c r="AJ132" s="134"/>
    </row>
    <row r="133" spans="1:36" hidden="1" x14ac:dyDescent="0.3">
      <c r="A133" s="215"/>
      <c r="B133" s="218"/>
      <c r="C133" s="218"/>
      <c r="D133" s="218"/>
      <c r="E133" s="221"/>
      <c r="F133" s="218"/>
      <c r="G133" s="224"/>
      <c r="H133" s="227"/>
      <c r="I133" s="209"/>
      <c r="J133" s="230"/>
      <c r="K133" s="209">
        <f ca="1">IF(NOT(ISERROR(MATCH(J133,_xlfn.ANCHORARRAY(E144),0))),I146&amp;"Por favor no seleccionar los criterios de impacto",J133)</f>
        <v>0</v>
      </c>
      <c r="L133" s="227"/>
      <c r="M133" s="209"/>
      <c r="N133" s="212"/>
      <c r="O133" s="139">
        <v>6</v>
      </c>
      <c r="P133" s="124"/>
      <c r="Q133" s="125" t="str">
        <f t="shared" si="136"/>
        <v/>
      </c>
      <c r="R133" s="126"/>
      <c r="S133" s="126"/>
      <c r="T133" s="127" t="str">
        <f t="shared" si="133"/>
        <v/>
      </c>
      <c r="U133" s="126"/>
      <c r="V133" s="126"/>
      <c r="W133" s="126"/>
      <c r="X133" s="128" t="str">
        <f t="shared" si="137"/>
        <v/>
      </c>
      <c r="Y133" s="129" t="str">
        <f t="shared" si="78"/>
        <v/>
      </c>
      <c r="Z133" s="130" t="str">
        <f t="shared" si="134"/>
        <v/>
      </c>
      <c r="AA133" s="129" t="str">
        <f t="shared" si="80"/>
        <v/>
      </c>
      <c r="AB133" s="138" t="str">
        <f t="shared" si="138"/>
        <v/>
      </c>
      <c r="AC133" s="131" t="str">
        <f t="shared" si="139"/>
        <v/>
      </c>
      <c r="AD133" s="132"/>
      <c r="AE133" s="133"/>
      <c r="AF133" s="134"/>
      <c r="AG133" s="135"/>
      <c r="AH133" s="135"/>
      <c r="AI133" s="133"/>
      <c r="AJ133" s="134"/>
    </row>
    <row r="134" spans="1:36" hidden="1" x14ac:dyDescent="0.3">
      <c r="A134" s="213">
        <v>10</v>
      </c>
      <c r="B134" s="216"/>
      <c r="C134" s="216"/>
      <c r="D134" s="216"/>
      <c r="E134" s="219"/>
      <c r="F134" s="216"/>
      <c r="G134" s="222"/>
      <c r="H134" s="225" t="str">
        <f>IF(G134&lt;=0,"",IF(G134&lt;=2,"Muy Baja",IF(G134&lt;=24,"Baja",IF(G134&lt;=500,"Media",IF(G134&lt;=5000,"Alta","Muy Alta")))))</f>
        <v/>
      </c>
      <c r="I134" s="207" t="str">
        <f>IF(H134="","",IF(H134="Muy Baja",0.2,IF(H134="Baja",0.4,IF(H134="Media",0.6,IF(H134="Alta",0.8,IF(H134="Muy Alta",1,))))))</f>
        <v/>
      </c>
      <c r="J134" s="228"/>
      <c r="K134" s="207">
        <f>IF(NOT(ISERROR(MATCH(J134,#REF!,0))),#REF!&amp;"Por favor no seleccionar los criterios de impacto(Afectación Económica o presupuestal y Pérdida Reputacional)",J134)</f>
        <v>0</v>
      </c>
      <c r="L134" s="225" t="e">
        <f>IF(OR(K134=#REF!,K134=#REF!),"Leve",IF(OR(K134=#REF!,K134=#REF!),"Menor",IF(OR(K134=#REF!,K134=#REF!),"Moderado",IF(OR(K134=#REF!,K134=#REF!),"Mayor",IF(OR(K134=#REF!,K134=#REF!),"Catastrófico","")))))</f>
        <v>#REF!</v>
      </c>
      <c r="M134" s="207" t="e">
        <f>IF(L134="","",IF(L134="Leve",0.2,IF(L134="Menor",0.4,IF(L134="Moderado",0.6,IF(L134="Mayor",0.8,IF(L134="Catastrófico",1,))))))</f>
        <v>#REF!</v>
      </c>
      <c r="N134" s="210" t="e">
        <f>IF(OR(AND(H134="Muy Baja",L134="Leve"),AND(H134="Muy Baja",L134="Menor"),AND(H134="Baja",L134="Leve")),"Bajo",IF(OR(AND(H134="Muy baja",L134="Moderado"),AND(H134="Baja",L134="Menor"),AND(H134="Baja",L134="Moderado"),AND(H134="Media",L134="Leve"),AND(H134="Media",L134="Menor"),AND(H134="Media",L134="Moderado"),AND(H134="Alta",L134="Leve"),AND(H134="Alta",L134="Menor")),"Moderado",IF(OR(AND(H134="Muy Baja",L134="Mayor"),AND(H134="Baja",L134="Mayor"),AND(H134="Media",L134="Mayor"),AND(H134="Alta",L134="Moderado"),AND(H134="Alta",L134="Mayor"),AND(H134="Muy Alta",L134="Leve"),AND(H134="Muy Alta",L134="Menor"),AND(H134="Muy Alta",L134="Moderado"),AND(H134="Muy Alta",L134="Mayor")),"Alto",IF(OR(AND(H134="Muy Baja",L134="Catastrófico"),AND(H134="Baja",L134="Catastrófico"),AND(H134="Media",L134="Catastrófico"),AND(H134="Alta",L134="Catastrófico"),AND(H134="Muy Alta",L134="Catastrófico")),"Extremo",""))))</f>
        <v>#REF!</v>
      </c>
      <c r="O134" s="139">
        <v>1</v>
      </c>
      <c r="P134" s="124"/>
      <c r="Q134" s="125" t="str">
        <f>IF(OR(R134="Preventivo",R134="Detectivo"),"Probabilidad",IF(R134="Correctivo","Impacto",""))</f>
        <v/>
      </c>
      <c r="R134" s="126"/>
      <c r="S134" s="126"/>
      <c r="T134" s="127" t="str">
        <f>IF(AND(R134="Preventivo",S134="Automático"),"50%",IF(AND(R134="Preventivo",S134="Manual"),"40%",IF(AND(R134="Detectivo",S134="Automático"),"40%",IF(AND(R134="Detectivo",S134="Manual"),"30%",IF(AND(R134="Correctivo",S134="Automático"),"35%",IF(AND(R134="Correctivo",S134="Manual"),"25%",""))))))</f>
        <v/>
      </c>
      <c r="U134" s="126"/>
      <c r="V134" s="126"/>
      <c r="W134" s="126"/>
      <c r="X134" s="128" t="str">
        <f>IFERROR(IF(Q134="Probabilidad",(I134-(+I134*T134)),IF(Q134="Impacto",I134,"")),"")</f>
        <v/>
      </c>
      <c r="Y134" s="129" t="str">
        <f>IFERROR(IF(X134="","",IF(X134&lt;=0.2,"Muy Baja",IF(X134&lt;=0.4,"Baja",IF(X134&lt;=0.6,"Media",IF(X134&lt;=0.8,"Alta","Muy Alta"))))),"")</f>
        <v/>
      </c>
      <c r="Z134" s="130" t="str">
        <f>+X134</f>
        <v/>
      </c>
      <c r="AA134" s="129" t="str">
        <f>IFERROR(IF(AB134="","",IF(AB134&lt;=0.2,"Leve",IF(AB134&lt;=0.4,"Menor",IF(AB134&lt;=0.6,"Moderado",IF(AB134&lt;=0.8,"Mayor","Catastrófico"))))),"")</f>
        <v/>
      </c>
      <c r="AB134" s="138" t="str">
        <f>IFERROR(IF(Q134="Impacto",(M134-(+M134*T134)),IF(Q134="Probabilidad",M134,"")),"")</f>
        <v/>
      </c>
      <c r="AC134" s="131" t="str">
        <f>IFERROR(IF(OR(AND(Y134="Muy Baja",AA134="Leve"),AND(Y134="Muy Baja",AA134="Menor"),AND(Y134="Baja",AA134="Leve")),"Bajo",IF(OR(AND(Y134="Muy baja",AA134="Moderado"),AND(Y134="Baja",AA134="Menor"),AND(Y134="Baja",AA134="Moderado"),AND(Y134="Media",AA134="Leve"),AND(Y134="Media",AA134="Menor"),AND(Y134="Media",AA134="Moderado"),AND(Y134="Alta",AA134="Leve"),AND(Y134="Alta",AA134="Menor")),"Moderado",IF(OR(AND(Y134="Muy Baja",AA134="Mayor"),AND(Y134="Baja",AA134="Mayor"),AND(Y134="Media",AA134="Mayor"),AND(Y134="Alta",AA134="Moderado"),AND(Y134="Alta",AA134="Mayor"),AND(Y134="Muy Alta",AA134="Leve"),AND(Y134="Muy Alta",AA134="Menor"),AND(Y134="Muy Alta",AA134="Moderado"),AND(Y134="Muy Alta",AA134="Mayor")),"Alto",IF(OR(AND(Y134="Muy Baja",AA134="Catastrófico"),AND(Y134="Baja",AA134="Catastrófico"),AND(Y134="Media",AA134="Catastrófico"),AND(Y134="Alta",AA134="Catastrófico"),AND(Y134="Muy Alta",AA134="Catastrófico")),"Extremo","")))),"")</f>
        <v/>
      </c>
      <c r="AD134" s="132"/>
      <c r="AE134" s="133"/>
      <c r="AF134" s="134"/>
      <c r="AG134" s="135"/>
      <c r="AH134" s="135"/>
      <c r="AI134" s="133"/>
      <c r="AJ134" s="134"/>
    </row>
    <row r="135" spans="1:36" hidden="1" x14ac:dyDescent="0.3">
      <c r="A135" s="214"/>
      <c r="B135" s="217"/>
      <c r="C135" s="217"/>
      <c r="D135" s="217"/>
      <c r="E135" s="220"/>
      <c r="F135" s="217"/>
      <c r="G135" s="223"/>
      <c r="H135" s="226"/>
      <c r="I135" s="208"/>
      <c r="J135" s="229"/>
      <c r="K135" s="208">
        <f ca="1">IF(NOT(ISERROR(MATCH(J135,_xlfn.ANCHORARRAY(E146),0))),I148&amp;"Por favor no seleccionar los criterios de impacto",J135)</f>
        <v>0</v>
      </c>
      <c r="L135" s="226"/>
      <c r="M135" s="208"/>
      <c r="N135" s="211"/>
      <c r="O135" s="139">
        <v>2</v>
      </c>
      <c r="P135" s="124"/>
      <c r="Q135" s="125" t="str">
        <f>IF(OR(R135="Preventivo",R135="Detectivo"),"Probabilidad",IF(R135="Correctivo","Impacto",""))</f>
        <v/>
      </c>
      <c r="R135" s="126"/>
      <c r="S135" s="126"/>
      <c r="T135" s="127" t="str">
        <f t="shared" ref="T135:T139" si="140">IF(AND(R135="Preventivo",S135="Automático"),"50%",IF(AND(R135="Preventivo",S135="Manual"),"40%",IF(AND(R135="Detectivo",S135="Automático"),"40%",IF(AND(R135="Detectivo",S135="Manual"),"30%",IF(AND(R135="Correctivo",S135="Automático"),"35%",IF(AND(R135="Correctivo",S135="Manual"),"25%",""))))))</f>
        <v/>
      </c>
      <c r="U135" s="126"/>
      <c r="V135" s="126"/>
      <c r="W135" s="126"/>
      <c r="X135" s="128" t="str">
        <f>IFERROR(IF(AND(Q134="Probabilidad",Q135="Probabilidad"),(Z134-(+Z134*T135)),IF(Q135="Probabilidad",(I134-(+I134*T135)),IF(Q135="Impacto",Z134,""))),"")</f>
        <v/>
      </c>
      <c r="Y135" s="129" t="str">
        <f t="shared" si="78"/>
        <v/>
      </c>
      <c r="Z135" s="130" t="str">
        <f t="shared" ref="Z135:Z139" si="141">+X135</f>
        <v/>
      </c>
      <c r="AA135" s="129" t="str">
        <f t="shared" si="80"/>
        <v/>
      </c>
      <c r="AB135" s="138" t="str">
        <f>IFERROR(IF(AND(Q134="Impacto",Q135="Impacto"),(AB134-(+AB134*T135)),IF(Q135="Impacto",(M134-(+M134*T135)),IF(Q135="Probabilidad",AB134,""))),"")</f>
        <v/>
      </c>
      <c r="AC135" s="131" t="str">
        <f t="shared" ref="AC135:AC136" si="142">IFERROR(IF(OR(AND(Y135="Muy Baja",AA135="Leve"),AND(Y135="Muy Baja",AA135="Menor"),AND(Y135="Baja",AA135="Leve")),"Bajo",IF(OR(AND(Y135="Muy baja",AA135="Moderado"),AND(Y135="Baja",AA135="Menor"),AND(Y135="Baja",AA135="Moderado"),AND(Y135="Media",AA135="Leve"),AND(Y135="Media",AA135="Menor"),AND(Y135="Media",AA135="Moderado"),AND(Y135="Alta",AA135="Leve"),AND(Y135="Alta",AA135="Menor")),"Moderado",IF(OR(AND(Y135="Muy Baja",AA135="Mayor"),AND(Y135="Baja",AA135="Mayor"),AND(Y135="Media",AA135="Mayor"),AND(Y135="Alta",AA135="Moderado"),AND(Y135="Alta",AA135="Mayor"),AND(Y135="Muy Alta",AA135="Leve"),AND(Y135="Muy Alta",AA135="Menor"),AND(Y135="Muy Alta",AA135="Moderado"),AND(Y135="Muy Alta",AA135="Mayor")),"Alto",IF(OR(AND(Y135="Muy Baja",AA135="Catastrófico"),AND(Y135="Baja",AA135="Catastrófico"),AND(Y135="Media",AA135="Catastrófico"),AND(Y135="Alta",AA135="Catastrófico"),AND(Y135="Muy Alta",AA135="Catastrófico")),"Extremo","")))),"")</f>
        <v/>
      </c>
      <c r="AD135" s="132"/>
      <c r="AE135" s="133"/>
      <c r="AF135" s="134"/>
      <c r="AG135" s="135"/>
      <c r="AH135" s="135"/>
      <c r="AI135" s="133"/>
      <c r="AJ135" s="134"/>
    </row>
    <row r="136" spans="1:36" hidden="1" x14ac:dyDescent="0.3">
      <c r="A136" s="214"/>
      <c r="B136" s="217"/>
      <c r="C136" s="217"/>
      <c r="D136" s="217"/>
      <c r="E136" s="220"/>
      <c r="F136" s="217"/>
      <c r="G136" s="223"/>
      <c r="H136" s="226"/>
      <c r="I136" s="208"/>
      <c r="J136" s="229"/>
      <c r="K136" s="208">
        <f ca="1">IF(NOT(ISERROR(MATCH(J136,_xlfn.ANCHORARRAY(E147),0))),I149&amp;"Por favor no seleccionar los criterios de impacto",J136)</f>
        <v>0</v>
      </c>
      <c r="L136" s="226"/>
      <c r="M136" s="208"/>
      <c r="N136" s="211"/>
      <c r="O136" s="139">
        <v>3</v>
      </c>
      <c r="P136" s="136"/>
      <c r="Q136" s="125" t="str">
        <f>IF(OR(R136="Preventivo",R136="Detectivo"),"Probabilidad",IF(R136="Correctivo","Impacto",""))</f>
        <v/>
      </c>
      <c r="R136" s="126"/>
      <c r="S136" s="126"/>
      <c r="T136" s="127" t="str">
        <f t="shared" si="140"/>
        <v/>
      </c>
      <c r="U136" s="126"/>
      <c r="V136" s="126"/>
      <c r="W136" s="126"/>
      <c r="X136" s="128" t="str">
        <f>IFERROR(IF(AND(Q135="Probabilidad",Q136="Probabilidad"),(Z135-(+Z135*T136)),IF(AND(Q135="Impacto",Q136="Probabilidad"),(Z134-(+Z134*T136)),IF(Q136="Impacto",Z135,""))),"")</f>
        <v/>
      </c>
      <c r="Y136" s="129" t="str">
        <f t="shared" si="78"/>
        <v/>
      </c>
      <c r="Z136" s="130" t="str">
        <f t="shared" si="141"/>
        <v/>
      </c>
      <c r="AA136" s="129" t="str">
        <f t="shared" si="80"/>
        <v/>
      </c>
      <c r="AB136" s="138" t="str">
        <f>IFERROR(IF(AND(Q135="Impacto",Q136="Impacto"),(AB135-(+AB135*T136)),IF(AND(Q135="Probabilidad",Q136="Impacto"),(AB134-(+AB134*T136)),IF(Q136="Probabilidad",AB135,""))),"")</f>
        <v/>
      </c>
      <c r="AC136" s="131" t="str">
        <f t="shared" si="142"/>
        <v/>
      </c>
      <c r="AD136" s="132"/>
      <c r="AE136" s="133"/>
      <c r="AF136" s="134"/>
      <c r="AG136" s="135"/>
      <c r="AH136" s="135"/>
      <c r="AI136" s="133"/>
      <c r="AJ136" s="134"/>
    </row>
    <row r="137" spans="1:36" hidden="1" x14ac:dyDescent="0.3">
      <c r="A137" s="214"/>
      <c r="B137" s="217"/>
      <c r="C137" s="217"/>
      <c r="D137" s="217"/>
      <c r="E137" s="220"/>
      <c r="F137" s="217"/>
      <c r="G137" s="223"/>
      <c r="H137" s="226"/>
      <c r="I137" s="208"/>
      <c r="J137" s="229"/>
      <c r="K137" s="208">
        <f ca="1">IF(NOT(ISERROR(MATCH(J137,_xlfn.ANCHORARRAY(E148),0))),I150&amp;"Por favor no seleccionar los criterios de impacto",J137)</f>
        <v>0</v>
      </c>
      <c r="L137" s="226"/>
      <c r="M137" s="208"/>
      <c r="N137" s="211"/>
      <c r="O137" s="139">
        <v>4</v>
      </c>
      <c r="P137" s="124"/>
      <c r="Q137" s="125" t="str">
        <f t="shared" ref="Q137:Q139" si="143">IF(OR(R137="Preventivo",R137="Detectivo"),"Probabilidad",IF(R137="Correctivo","Impacto",""))</f>
        <v/>
      </c>
      <c r="R137" s="126"/>
      <c r="S137" s="126"/>
      <c r="T137" s="127" t="str">
        <f t="shared" si="140"/>
        <v/>
      </c>
      <c r="U137" s="126"/>
      <c r="V137" s="126"/>
      <c r="W137" s="126"/>
      <c r="X137" s="128" t="str">
        <f t="shared" ref="X137:X139" si="144">IFERROR(IF(AND(Q136="Probabilidad",Q137="Probabilidad"),(Z136-(+Z136*T137)),IF(AND(Q136="Impacto",Q137="Probabilidad"),(Z135-(+Z135*T137)),IF(Q137="Impacto",Z136,""))),"")</f>
        <v/>
      </c>
      <c r="Y137" s="129" t="str">
        <f t="shared" si="78"/>
        <v/>
      </c>
      <c r="Z137" s="130" t="str">
        <f t="shared" si="141"/>
        <v/>
      </c>
      <c r="AA137" s="129" t="str">
        <f t="shared" si="80"/>
        <v/>
      </c>
      <c r="AB137" s="138" t="str">
        <f t="shared" ref="AB137:AB139" si="145">IFERROR(IF(AND(Q136="Impacto",Q137="Impacto"),(AB136-(+AB136*T137)),IF(AND(Q136="Probabilidad",Q137="Impacto"),(AB135-(+AB135*T137)),IF(Q137="Probabilidad",AB136,""))),"")</f>
        <v/>
      </c>
      <c r="AC137" s="131" t="str">
        <f>IFERROR(IF(OR(AND(Y137="Muy Baja",AA137="Leve"),AND(Y137="Muy Baja",AA137="Menor"),AND(Y137="Baja",AA137="Leve")),"Bajo",IF(OR(AND(Y137="Muy baja",AA137="Moderado"),AND(Y137="Baja",AA137="Menor"),AND(Y137="Baja",AA137="Moderado"),AND(Y137="Media",AA137="Leve"),AND(Y137="Media",AA137="Menor"),AND(Y137="Media",AA137="Moderado"),AND(Y137="Alta",AA137="Leve"),AND(Y137="Alta",AA137="Menor")),"Moderado",IF(OR(AND(Y137="Muy Baja",AA137="Mayor"),AND(Y137="Baja",AA137="Mayor"),AND(Y137="Media",AA137="Mayor"),AND(Y137="Alta",AA137="Moderado"),AND(Y137="Alta",AA137="Mayor"),AND(Y137="Muy Alta",AA137="Leve"),AND(Y137="Muy Alta",AA137="Menor"),AND(Y137="Muy Alta",AA137="Moderado"),AND(Y137="Muy Alta",AA137="Mayor")),"Alto",IF(OR(AND(Y137="Muy Baja",AA137="Catastrófico"),AND(Y137="Baja",AA137="Catastrófico"),AND(Y137="Media",AA137="Catastrófico"),AND(Y137="Alta",AA137="Catastrófico"),AND(Y137="Muy Alta",AA137="Catastrófico")),"Extremo","")))),"")</f>
        <v/>
      </c>
      <c r="AD137" s="132"/>
      <c r="AE137" s="133"/>
      <c r="AF137" s="134"/>
      <c r="AG137" s="135"/>
      <c r="AH137" s="135"/>
      <c r="AI137" s="133"/>
      <c r="AJ137" s="134"/>
    </row>
    <row r="138" spans="1:36" hidden="1" x14ac:dyDescent="0.3">
      <c r="A138" s="214"/>
      <c r="B138" s="217"/>
      <c r="C138" s="217"/>
      <c r="D138" s="217"/>
      <c r="E138" s="220"/>
      <c r="F138" s="217"/>
      <c r="G138" s="223"/>
      <c r="H138" s="226"/>
      <c r="I138" s="208"/>
      <c r="J138" s="229"/>
      <c r="K138" s="208">
        <f ca="1">IF(NOT(ISERROR(MATCH(J138,_xlfn.ANCHORARRAY(E149),0))),I151&amp;"Por favor no seleccionar los criterios de impacto",J138)</f>
        <v>0</v>
      </c>
      <c r="L138" s="226"/>
      <c r="M138" s="208"/>
      <c r="N138" s="211"/>
      <c r="O138" s="139">
        <v>5</v>
      </c>
      <c r="P138" s="124"/>
      <c r="Q138" s="125" t="str">
        <f t="shared" si="143"/>
        <v/>
      </c>
      <c r="R138" s="126"/>
      <c r="S138" s="126"/>
      <c r="T138" s="127" t="str">
        <f t="shared" si="140"/>
        <v/>
      </c>
      <c r="U138" s="126"/>
      <c r="V138" s="126"/>
      <c r="W138" s="126"/>
      <c r="X138" s="128" t="str">
        <f t="shared" si="144"/>
        <v/>
      </c>
      <c r="Y138" s="129" t="str">
        <f t="shared" si="78"/>
        <v/>
      </c>
      <c r="Z138" s="130" t="str">
        <f t="shared" si="141"/>
        <v/>
      </c>
      <c r="AA138" s="129" t="str">
        <f t="shared" si="80"/>
        <v/>
      </c>
      <c r="AB138" s="138" t="str">
        <f t="shared" si="145"/>
        <v/>
      </c>
      <c r="AC138" s="131" t="str">
        <f t="shared" ref="AC138:AC139" si="146">IFERROR(IF(OR(AND(Y138="Muy Baja",AA138="Leve"),AND(Y138="Muy Baja",AA138="Menor"),AND(Y138="Baja",AA138="Leve")),"Bajo",IF(OR(AND(Y138="Muy baja",AA138="Moderado"),AND(Y138="Baja",AA138="Menor"),AND(Y138="Baja",AA138="Moderado"),AND(Y138="Media",AA138="Leve"),AND(Y138="Media",AA138="Menor"),AND(Y138="Media",AA138="Moderado"),AND(Y138="Alta",AA138="Leve"),AND(Y138="Alta",AA138="Menor")),"Moderado",IF(OR(AND(Y138="Muy Baja",AA138="Mayor"),AND(Y138="Baja",AA138="Mayor"),AND(Y138="Media",AA138="Mayor"),AND(Y138="Alta",AA138="Moderado"),AND(Y138="Alta",AA138="Mayor"),AND(Y138="Muy Alta",AA138="Leve"),AND(Y138="Muy Alta",AA138="Menor"),AND(Y138="Muy Alta",AA138="Moderado"),AND(Y138="Muy Alta",AA138="Mayor")),"Alto",IF(OR(AND(Y138="Muy Baja",AA138="Catastrófico"),AND(Y138="Baja",AA138="Catastrófico"),AND(Y138="Media",AA138="Catastrófico"),AND(Y138="Alta",AA138="Catastrófico"),AND(Y138="Muy Alta",AA138="Catastrófico")),"Extremo","")))),"")</f>
        <v/>
      </c>
      <c r="AD138" s="132"/>
      <c r="AE138" s="133"/>
      <c r="AF138" s="134"/>
      <c r="AG138" s="135"/>
      <c r="AH138" s="135"/>
      <c r="AI138" s="133"/>
      <c r="AJ138" s="134"/>
    </row>
    <row r="139" spans="1:36" ht="25.5" hidden="1" customHeight="1" x14ac:dyDescent="0.3">
      <c r="A139" s="215"/>
      <c r="B139" s="218"/>
      <c r="C139" s="218"/>
      <c r="D139" s="218"/>
      <c r="E139" s="221"/>
      <c r="F139" s="218"/>
      <c r="G139" s="224"/>
      <c r="H139" s="227"/>
      <c r="I139" s="209"/>
      <c r="J139" s="230"/>
      <c r="K139" s="209">
        <f ca="1">IF(NOT(ISERROR(MATCH(J139,_xlfn.ANCHORARRAY(E150),0))),I152&amp;"Por favor no seleccionar los criterios de impacto",J139)</f>
        <v>0</v>
      </c>
      <c r="L139" s="227"/>
      <c r="M139" s="209"/>
      <c r="N139" s="212"/>
      <c r="O139" s="139">
        <v>6</v>
      </c>
      <c r="P139" s="124"/>
      <c r="Q139" s="125" t="str">
        <f t="shared" si="143"/>
        <v/>
      </c>
      <c r="R139" s="126"/>
      <c r="S139" s="126"/>
      <c r="T139" s="127" t="str">
        <f t="shared" si="140"/>
        <v/>
      </c>
      <c r="U139" s="126"/>
      <c r="V139" s="126"/>
      <c r="W139" s="126"/>
      <c r="X139" s="128" t="str">
        <f t="shared" si="144"/>
        <v/>
      </c>
      <c r="Y139" s="129" t="str">
        <f t="shared" si="78"/>
        <v/>
      </c>
      <c r="Z139" s="130" t="str">
        <f t="shared" si="141"/>
        <v/>
      </c>
      <c r="AA139" s="129" t="str">
        <f t="shared" si="80"/>
        <v/>
      </c>
      <c r="AB139" s="138" t="str">
        <f t="shared" si="145"/>
        <v/>
      </c>
      <c r="AC139" s="131" t="str">
        <f t="shared" si="146"/>
        <v/>
      </c>
      <c r="AD139" s="132"/>
      <c r="AE139" s="133"/>
      <c r="AF139" s="134"/>
      <c r="AG139" s="135"/>
      <c r="AH139" s="135"/>
      <c r="AI139" s="133"/>
      <c r="AJ139" s="134"/>
    </row>
    <row r="140" spans="1:36" ht="29.25" customHeight="1" x14ac:dyDescent="0.3">
      <c r="A140" s="6"/>
      <c r="B140" s="204" t="s">
        <v>131</v>
      </c>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6"/>
    </row>
    <row r="141" spans="1:36" x14ac:dyDescent="0.3">
      <c r="A141" s="195" t="s">
        <v>229</v>
      </c>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7"/>
    </row>
    <row r="142" spans="1:36" x14ac:dyDescent="0.3">
      <c r="A142" s="198"/>
      <c r="B142" s="199"/>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200"/>
    </row>
    <row r="143" spans="1:36" x14ac:dyDescent="0.3">
      <c r="A143" s="27"/>
      <c r="B143" s="28"/>
      <c r="C143" s="27"/>
      <c r="D143" s="27"/>
      <c r="E143" s="8"/>
      <c r="F143" s="26"/>
      <c r="G143" s="8"/>
      <c r="H143" s="8"/>
      <c r="I143" s="8"/>
      <c r="J143" s="8"/>
      <c r="K143" s="8"/>
      <c r="L143" s="8"/>
      <c r="M143" s="8"/>
      <c r="N143" s="8"/>
      <c r="O143" s="25"/>
      <c r="P143" s="8"/>
      <c r="Q143" s="8"/>
      <c r="R143" s="8"/>
      <c r="S143" s="8"/>
      <c r="T143" s="8"/>
      <c r="U143" s="8"/>
      <c r="V143" s="8"/>
      <c r="W143" s="8"/>
      <c r="X143" s="8"/>
      <c r="Y143" s="8"/>
      <c r="Z143" s="8"/>
      <c r="AA143" s="8"/>
      <c r="AB143" s="8"/>
      <c r="AC143" s="8"/>
      <c r="AD143" s="8"/>
      <c r="AE143" s="8"/>
      <c r="AF143" s="8"/>
      <c r="AG143" s="8"/>
      <c r="AH143" s="8"/>
      <c r="AI143" s="8"/>
      <c r="AJ143" s="8"/>
    </row>
    <row r="144" spans="1:36" ht="23.25" x14ac:dyDescent="0.3">
      <c r="A144" s="256" t="s">
        <v>43</v>
      </c>
      <c r="B144" s="257"/>
      <c r="C144" s="191" t="s">
        <v>230</v>
      </c>
      <c r="D144" s="192"/>
      <c r="E144" s="192"/>
      <c r="F144" s="192"/>
      <c r="G144" s="192"/>
      <c r="H144" s="192"/>
      <c r="I144" s="192"/>
      <c r="J144" s="192"/>
      <c r="K144" s="192"/>
      <c r="L144" s="192"/>
      <c r="M144" s="192"/>
      <c r="N144" s="193"/>
      <c r="O144" s="194"/>
      <c r="P144" s="194"/>
      <c r="Q144" s="194"/>
      <c r="R144" s="8"/>
      <c r="S144" s="8"/>
      <c r="T144" s="8"/>
      <c r="U144" s="8"/>
      <c r="V144" s="8"/>
      <c r="W144" s="8"/>
      <c r="X144" s="8"/>
      <c r="Y144" s="8"/>
      <c r="Z144" s="8"/>
      <c r="AA144" s="8"/>
      <c r="AB144" s="8"/>
      <c r="AC144" s="8"/>
      <c r="AD144" s="8"/>
      <c r="AE144" s="8"/>
      <c r="AF144" s="8"/>
      <c r="AG144" s="8"/>
      <c r="AH144" s="8"/>
      <c r="AI144" s="8"/>
      <c r="AJ144" s="8"/>
    </row>
    <row r="145" spans="1:36" ht="23.25" x14ac:dyDescent="0.3">
      <c r="A145" s="256" t="s">
        <v>130</v>
      </c>
      <c r="B145" s="257"/>
      <c r="C145" s="191" t="s">
        <v>231</v>
      </c>
      <c r="D145" s="192"/>
      <c r="E145" s="192"/>
      <c r="F145" s="192"/>
      <c r="G145" s="192"/>
      <c r="H145" s="192"/>
      <c r="I145" s="192"/>
      <c r="J145" s="192"/>
      <c r="K145" s="192"/>
      <c r="L145" s="192"/>
      <c r="M145" s="192"/>
      <c r="N145" s="193"/>
      <c r="O145" s="25"/>
      <c r="P145" s="8"/>
      <c r="Q145" s="8"/>
      <c r="R145" s="8"/>
      <c r="S145" s="8"/>
      <c r="T145" s="8"/>
      <c r="U145" s="8"/>
      <c r="V145" s="8"/>
      <c r="W145" s="8"/>
      <c r="X145" s="8"/>
      <c r="Y145" s="8"/>
      <c r="Z145" s="8"/>
      <c r="AA145" s="8"/>
      <c r="AB145" s="8"/>
      <c r="AC145" s="8"/>
      <c r="AD145" s="8"/>
      <c r="AE145" s="8"/>
      <c r="AF145" s="8"/>
      <c r="AG145" s="8"/>
      <c r="AH145" s="8"/>
      <c r="AI145" s="8"/>
      <c r="AJ145" s="8"/>
    </row>
    <row r="146" spans="1:36" ht="23.25" x14ac:dyDescent="0.3">
      <c r="A146" s="256" t="s">
        <v>44</v>
      </c>
      <c r="B146" s="257"/>
      <c r="C146" s="266" t="s">
        <v>232</v>
      </c>
      <c r="D146" s="267"/>
      <c r="E146" s="267"/>
      <c r="F146" s="267"/>
      <c r="G146" s="267"/>
      <c r="H146" s="267"/>
      <c r="I146" s="267"/>
      <c r="J146" s="267"/>
      <c r="K146" s="267"/>
      <c r="L146" s="267"/>
      <c r="M146" s="267"/>
      <c r="N146" s="268"/>
      <c r="O146" s="25"/>
      <c r="P146" s="8"/>
      <c r="Q146" s="8"/>
      <c r="R146" s="8"/>
      <c r="S146" s="8"/>
      <c r="T146" s="8"/>
      <c r="U146" s="8"/>
      <c r="V146" s="8"/>
      <c r="W146" s="8"/>
      <c r="X146" s="8"/>
      <c r="Y146" s="8"/>
      <c r="Z146" s="8"/>
      <c r="AA146" s="8"/>
      <c r="AB146" s="8"/>
      <c r="AC146" s="8"/>
      <c r="AD146" s="8"/>
      <c r="AE146" s="8"/>
      <c r="AF146" s="8"/>
      <c r="AG146" s="8"/>
      <c r="AH146" s="8"/>
      <c r="AI146" s="8"/>
      <c r="AJ146" s="8"/>
    </row>
    <row r="147" spans="1:36" x14ac:dyDescent="0.3">
      <c r="A147" s="201" t="s">
        <v>139</v>
      </c>
      <c r="B147" s="202"/>
      <c r="C147" s="202"/>
      <c r="D147" s="202"/>
      <c r="E147" s="202"/>
      <c r="F147" s="202"/>
      <c r="G147" s="203"/>
      <c r="H147" s="201" t="s">
        <v>140</v>
      </c>
      <c r="I147" s="202"/>
      <c r="J147" s="202"/>
      <c r="K147" s="202"/>
      <c r="L147" s="202"/>
      <c r="M147" s="202"/>
      <c r="N147" s="203"/>
      <c r="O147" s="201" t="s">
        <v>141</v>
      </c>
      <c r="P147" s="202"/>
      <c r="Q147" s="202"/>
      <c r="R147" s="202"/>
      <c r="S147" s="202"/>
      <c r="T147" s="202"/>
      <c r="U147" s="202"/>
      <c r="V147" s="202"/>
      <c r="W147" s="203"/>
      <c r="X147" s="201" t="s">
        <v>142</v>
      </c>
      <c r="Y147" s="202"/>
      <c r="Z147" s="202"/>
      <c r="AA147" s="202"/>
      <c r="AB147" s="202"/>
      <c r="AC147" s="202"/>
      <c r="AD147" s="203"/>
      <c r="AE147" s="201" t="s">
        <v>34</v>
      </c>
      <c r="AF147" s="202"/>
      <c r="AG147" s="202"/>
      <c r="AH147" s="202"/>
      <c r="AI147" s="202"/>
      <c r="AJ147" s="203"/>
    </row>
    <row r="148" spans="1:36" x14ac:dyDescent="0.3">
      <c r="A148" s="258" t="s">
        <v>0</v>
      </c>
      <c r="B148" s="263" t="s">
        <v>2</v>
      </c>
      <c r="C148" s="261" t="s">
        <v>3</v>
      </c>
      <c r="D148" s="261" t="s">
        <v>42</v>
      </c>
      <c r="E148" s="262" t="s">
        <v>1</v>
      </c>
      <c r="F148" s="260" t="s">
        <v>50</v>
      </c>
      <c r="G148" s="261" t="s">
        <v>135</v>
      </c>
      <c r="H148" s="270" t="s">
        <v>33</v>
      </c>
      <c r="I148" s="271" t="s">
        <v>5</v>
      </c>
      <c r="J148" s="260" t="s">
        <v>87</v>
      </c>
      <c r="K148" s="260" t="s">
        <v>92</v>
      </c>
      <c r="L148" s="273" t="s">
        <v>45</v>
      </c>
      <c r="M148" s="271" t="s">
        <v>5</v>
      </c>
      <c r="N148" s="261" t="s">
        <v>48</v>
      </c>
      <c r="O148" s="264" t="s">
        <v>11</v>
      </c>
      <c r="P148" s="255" t="s">
        <v>161</v>
      </c>
      <c r="Q148" s="260" t="s">
        <v>12</v>
      </c>
      <c r="R148" s="255" t="s">
        <v>8</v>
      </c>
      <c r="S148" s="255"/>
      <c r="T148" s="255"/>
      <c r="U148" s="255"/>
      <c r="V148" s="255"/>
      <c r="W148" s="255"/>
      <c r="X148" s="269" t="s">
        <v>138</v>
      </c>
      <c r="Y148" s="269" t="s">
        <v>46</v>
      </c>
      <c r="Z148" s="269" t="s">
        <v>5</v>
      </c>
      <c r="AA148" s="269" t="s">
        <v>47</v>
      </c>
      <c r="AB148" s="269" t="s">
        <v>5</v>
      </c>
      <c r="AC148" s="269" t="s">
        <v>49</v>
      </c>
      <c r="AD148" s="264" t="s">
        <v>29</v>
      </c>
      <c r="AE148" s="255" t="s">
        <v>34</v>
      </c>
      <c r="AF148" s="255" t="s">
        <v>35</v>
      </c>
      <c r="AG148" s="255" t="s">
        <v>36</v>
      </c>
      <c r="AH148" s="255" t="s">
        <v>38</v>
      </c>
      <c r="AI148" s="255" t="s">
        <v>37</v>
      </c>
      <c r="AJ148" s="255" t="s">
        <v>39</v>
      </c>
    </row>
    <row r="149" spans="1:36" ht="78.75" x14ac:dyDescent="0.3">
      <c r="A149" s="259"/>
      <c r="B149" s="263"/>
      <c r="C149" s="255"/>
      <c r="D149" s="255"/>
      <c r="E149" s="263"/>
      <c r="F149" s="261"/>
      <c r="G149" s="255"/>
      <c r="H149" s="261"/>
      <c r="I149" s="272"/>
      <c r="J149" s="261"/>
      <c r="K149" s="261"/>
      <c r="L149" s="272"/>
      <c r="M149" s="272"/>
      <c r="N149" s="255"/>
      <c r="O149" s="265"/>
      <c r="P149" s="255"/>
      <c r="Q149" s="261"/>
      <c r="R149" s="7" t="s">
        <v>13</v>
      </c>
      <c r="S149" s="7" t="s">
        <v>17</v>
      </c>
      <c r="T149" s="7" t="s">
        <v>28</v>
      </c>
      <c r="U149" s="7" t="s">
        <v>18</v>
      </c>
      <c r="V149" s="7" t="s">
        <v>21</v>
      </c>
      <c r="W149" s="7" t="s">
        <v>24</v>
      </c>
      <c r="X149" s="269"/>
      <c r="Y149" s="269"/>
      <c r="Z149" s="269"/>
      <c r="AA149" s="269"/>
      <c r="AB149" s="269"/>
      <c r="AC149" s="269"/>
      <c r="AD149" s="265"/>
      <c r="AE149" s="255"/>
      <c r="AF149" s="255"/>
      <c r="AG149" s="255"/>
      <c r="AH149" s="255"/>
      <c r="AI149" s="255"/>
      <c r="AJ149" s="255"/>
    </row>
    <row r="150" spans="1:36" ht="66" customHeight="1" x14ac:dyDescent="0.3">
      <c r="A150" s="249">
        <v>1</v>
      </c>
      <c r="B150" s="240" t="s">
        <v>134</v>
      </c>
      <c r="C150" s="240" t="s">
        <v>274</v>
      </c>
      <c r="D150" s="240" t="s">
        <v>275</v>
      </c>
      <c r="E150" s="252" t="s">
        <v>272</v>
      </c>
      <c r="F150" s="240" t="s">
        <v>125</v>
      </c>
      <c r="G150" s="335">
        <v>365</v>
      </c>
      <c r="H150" s="231" t="str">
        <f>IF(G150&lt;=0,"",IF(G150&lt;=2,"Muy Baja",IF(G150&lt;=24,"Baja",IF(G150&lt;=500,"Media",IF(G150&lt;=5000,"Alta","Muy Alta")))))</f>
        <v>Media</v>
      </c>
      <c r="I150" s="234">
        <f>IF(H150="","",IF(H150="Muy Baja",0.2,IF(H150="Baja",0.4,IF(H150="Media",0.6,IF(H150="Alta",0.8,IF(H150="Muy Alta",1,))))))</f>
        <v>0.6</v>
      </c>
      <c r="J150" s="338" t="s">
        <v>148</v>
      </c>
      <c r="K150" s="207" t="str">
        <f>IF(NOT(ISERROR(MATCH(J150,#REF!,0))),#REF!&amp;"Por favor no seleccionar los criterios de impacto(Afectación Económica o presupuestal y Pérdida Reputacional)",J150)</f>
        <v xml:space="preserve">     Entre 10 y 50 SMLMV </v>
      </c>
      <c r="L150" s="231" t="str">
        <f>IF(OR(K150='Tabla Impacto'!$C$11,K150='Tabla Impacto'!$D$11),"Leve",IF(OR(K150='Tabla Impacto'!$C$12,K150='Tabla Impacto'!$D$12),"Menor",IF(OR(K150='Tabla Impacto'!$C$13,K150='Tabla Impacto'!$D$13),"Moderado",IF(OR(K150='Tabla Impacto'!$C$14,K150='Tabla Impacto'!$D$14),"Mayor",IF(OR(K150='Tabla Impacto'!$C$15,K150='Tabla Impacto'!$D$15),"Catastrófico","")))))</f>
        <v>Menor</v>
      </c>
      <c r="M150" s="234">
        <f>IF(L150="","",IF(L150="Leve",0.2,IF(L150="Menor",0.4,IF(L150="Moderado",0.6,IF(L150="Mayor",0.8,IF(L150="Catastrófico",1,))))))</f>
        <v>0.4</v>
      </c>
      <c r="N150" s="237" t="str">
        <f>IF(OR(AND(H150="Muy Baja",L150="Leve"),AND(H150="Muy Baja",L150="Menor"),AND(H150="Baja",L150="Leve")),"Bajo",IF(OR(AND(H150="Muy baja",L150="Moderado"),AND(H150="Baja",L150="Menor"),AND(H150="Baja",L150="Moderado"),AND(H150="Media",L150="Leve"),AND(H150="Media",L150="Menor"),AND(H150="Media",L150="Moderado"),AND(H150="Alta",L150="Leve"),AND(H150="Alta",L150="Menor")),"Moderado",IF(OR(AND(H150="Muy Baja",L150="Mayor"),AND(H150="Baja",L150="Mayor"),AND(H150="Media",L150="Mayor"),AND(H150="Alta",L150="Moderado"),AND(H150="Alta",L150="Mayor"),AND(H150="Muy Alta",L150="Leve"),AND(H150="Muy Alta",L150="Menor"),AND(H150="Muy Alta",L150="Moderado"),AND(H150="Muy Alta",L150="Mayor")),"Alto",IF(OR(AND(H150="Muy Baja",L150="Catastrófico"),AND(H150="Baja",L150="Catastrófico"),AND(H150="Media",L150="Catastrófico"),AND(H150="Alta",L150="Catastrófico"),AND(H150="Muy Alta",L150="Catastrófico")),"Extremo",""))))</f>
        <v>Moderado</v>
      </c>
      <c r="O150" s="249">
        <v>1</v>
      </c>
      <c r="P150" s="341" t="s">
        <v>233</v>
      </c>
      <c r="Q150" s="333" t="str">
        <f>IF(OR(R150="Preventivo",R150="Detectivo"),"Probabilidad",IF(R150="Correctivo","Impacto",""))</f>
        <v>Probabilidad</v>
      </c>
      <c r="R150" s="311" t="s">
        <v>14</v>
      </c>
      <c r="S150" s="311" t="s">
        <v>9</v>
      </c>
      <c r="T150" s="315" t="str">
        <f>IF(AND(R150="Preventivo",S150="Automático"),"50%",IF(AND(R150="Preventivo",S150="Manual"),"40%",IF(AND(R150="Detectivo",S150="Automático"),"40%",IF(AND(R150="Detectivo",S150="Manual"),"30%",IF(AND(R150="Correctivo",S150="Automático"),"35%",IF(AND(R150="Correctivo",S150="Manual"),"25%",""))))))</f>
        <v>40%</v>
      </c>
      <c r="U150" s="311" t="s">
        <v>19</v>
      </c>
      <c r="V150" s="311" t="s">
        <v>22</v>
      </c>
      <c r="W150" s="311" t="s">
        <v>119</v>
      </c>
      <c r="X150" s="140">
        <v>0.24</v>
      </c>
      <c r="Y150" s="313" t="str">
        <f>IFERROR(IF(X150="","",IF(X150&lt;=0.2,"Muy Baja",IF(X150&lt;=0.4,"Baja",IF(X150&lt;=0.6,"Media",IF(X150&lt;=0.8,"Alta","Muy Alta"))))),"")</f>
        <v>Baja</v>
      </c>
      <c r="Z150" s="315">
        <f>+X150:X155</f>
        <v>0.24</v>
      </c>
      <c r="AA150" s="313" t="str">
        <f>IFERROR(IF(AB150="","",IF(AB150&lt;=0.2,"Leve",IF(AB150&lt;=0.4,"Menor",IF(AB150&lt;=0.6,"Moderado",IF(AB150&lt;=0.8,"Mayor","Catastrófico"))))),"")</f>
        <v>Menor</v>
      </c>
      <c r="AB150" s="315">
        <f>IFERROR(IF(Q150="Impacto",(M150-(+M150*#REF!)),IF(Q150="Probabilidad",M150,"")),"")</f>
        <v>0.4</v>
      </c>
      <c r="AC150" s="319" t="str">
        <f>IFERROR(IF(OR(AND(Y150="Muy Baja",AA150="Leve"),AND(Y150="Muy Baja",AA150="Menor"),AND(Y150="Baja",AA150="Leve")),"Bajo",IF(OR(AND(Y150="Muy baja",AA150="Moderado"),AND(Y150="Baja",AA150="Menor"),AND(Y150="Baja",AA150="Moderado"),AND(Y150="Media",AA150="Leve"),AND(Y150="Media",AA150="Menor"),AND(Y150="Media",AA150="Moderado"),AND(Y150="Alta",AA150="Leve"),AND(Y150="Alta",AA150="Menor")),"Moderado",IF(OR(AND(Y150="Muy Baja",AA150="Mayor"),AND(Y150="Baja",AA150="Mayor"),AND(Y150="Media",AA150="Mayor"),AND(Y150="Alta",AA150="Moderado"),AND(Y150="Alta",AA150="Mayor"),AND(Y150="Muy Alta",AA150="Leve"),AND(Y150="Muy Alta",AA150="Menor"),AND(Y150="Muy Alta",AA150="Moderado"),AND(Y150="Muy Alta",AA150="Mayor")),"Alto",IF(OR(AND(Y150="Muy Baja",AA150="Catastrófico"),AND(Y150="Baja",AA150="Catastrófico"),AND(Y150="Media",AA150="Catastrófico"),AND(Y150="Alta",AA150="Catastrófico"),AND(Y150="Muy Alta",AA150="Catastrófico")),"Extremo","")))),"")</f>
        <v>Moderado</v>
      </c>
      <c r="AD150" s="311" t="s">
        <v>137</v>
      </c>
      <c r="AE150" s="240" t="s">
        <v>234</v>
      </c>
      <c r="AF150" s="222"/>
      <c r="AG150" s="321"/>
      <c r="AH150" s="321"/>
      <c r="AI150" s="216"/>
      <c r="AJ150" s="222"/>
    </row>
    <row r="151" spans="1:36" ht="82.5" customHeight="1" x14ac:dyDescent="0.3">
      <c r="A151" s="250"/>
      <c r="B151" s="241"/>
      <c r="C151" s="241"/>
      <c r="D151" s="241"/>
      <c r="E151" s="253"/>
      <c r="F151" s="241"/>
      <c r="G151" s="336"/>
      <c r="H151" s="232"/>
      <c r="I151" s="235"/>
      <c r="J151" s="339"/>
      <c r="K151" s="208">
        <f ca="1">IF(NOT(ISERROR(MATCH(J151,_xlfn.ANCHORARRAY(#REF!),0))),#REF!&amp;"Por favor no seleccionar los criterios de impacto",J151)</f>
        <v>0</v>
      </c>
      <c r="L151" s="232"/>
      <c r="M151" s="235"/>
      <c r="N151" s="238"/>
      <c r="O151" s="250"/>
      <c r="P151" s="355"/>
      <c r="Q151" s="353"/>
      <c r="R151" s="347"/>
      <c r="S151" s="347"/>
      <c r="T151" s="345"/>
      <c r="U151" s="347"/>
      <c r="V151" s="347"/>
      <c r="W151" s="347"/>
      <c r="X151" s="128" t="str">
        <f>IFERROR(IF(AND(Q150="Probabilidad",Q151="Probabilidad"),(Z150-(+Z150*T151)),IF(Q151="Probabilidad",(I150-(+I150*T151)),IF(Q151="Impacto",Z150,""))),"")</f>
        <v/>
      </c>
      <c r="Y151" s="349"/>
      <c r="Z151" s="345"/>
      <c r="AA151" s="349"/>
      <c r="AB151" s="345"/>
      <c r="AC151" s="346"/>
      <c r="AD151" s="347"/>
      <c r="AE151" s="241"/>
      <c r="AF151" s="223"/>
      <c r="AG151" s="354"/>
      <c r="AH151" s="354"/>
      <c r="AI151" s="217"/>
      <c r="AJ151" s="223"/>
    </row>
    <row r="152" spans="1:36" x14ac:dyDescent="0.3">
      <c r="A152" s="250"/>
      <c r="B152" s="241"/>
      <c r="C152" s="241"/>
      <c r="D152" s="241"/>
      <c r="E152" s="253"/>
      <c r="F152" s="241"/>
      <c r="G152" s="336"/>
      <c r="H152" s="232"/>
      <c r="I152" s="235"/>
      <c r="J152" s="339"/>
      <c r="K152" s="208">
        <f ca="1">IF(NOT(ISERROR(MATCH(J152,_xlfn.ANCHORARRAY(#REF!),0))),#REF!&amp;"Por favor no seleccionar los criterios de impacto",J152)</f>
        <v>0</v>
      </c>
      <c r="L152" s="232"/>
      <c r="M152" s="235"/>
      <c r="N152" s="238"/>
      <c r="O152" s="250"/>
      <c r="P152" s="355"/>
      <c r="Q152" s="353"/>
      <c r="R152" s="347"/>
      <c r="S152" s="347"/>
      <c r="T152" s="345"/>
      <c r="U152" s="347"/>
      <c r="V152" s="347"/>
      <c r="W152" s="347"/>
      <c r="X152" s="128" t="str">
        <f>IFERROR(IF(AND(Q151="Probabilidad",Q152="Probabilidad"),(Z151-(+Z151*T150)),IF(AND(Q151="Impacto",Q152="Probabilidad"),(Z150-(+Z150*T150)),IF(Q152="Impacto",Z151,""))),"")</f>
        <v/>
      </c>
      <c r="Y152" s="349"/>
      <c r="Z152" s="345"/>
      <c r="AA152" s="349"/>
      <c r="AB152" s="345"/>
      <c r="AC152" s="346"/>
      <c r="AD152" s="347"/>
      <c r="AE152" s="241"/>
      <c r="AF152" s="223"/>
      <c r="AG152" s="354"/>
      <c r="AH152" s="354"/>
      <c r="AI152" s="217"/>
      <c r="AJ152" s="223"/>
    </row>
    <row r="153" spans="1:36" x14ac:dyDescent="0.3">
      <c r="A153" s="250"/>
      <c r="B153" s="241"/>
      <c r="C153" s="241"/>
      <c r="D153" s="241"/>
      <c r="E153" s="253"/>
      <c r="F153" s="241"/>
      <c r="G153" s="336"/>
      <c r="H153" s="232"/>
      <c r="I153" s="235"/>
      <c r="J153" s="339"/>
      <c r="K153" s="208">
        <f ca="1">IF(NOT(ISERROR(MATCH(J153,_xlfn.ANCHORARRAY(#REF!),0))),#REF!&amp;"Por favor no seleccionar los criterios de impacto",J153)</f>
        <v>0</v>
      </c>
      <c r="L153" s="232"/>
      <c r="M153" s="235"/>
      <c r="N153" s="238"/>
      <c r="O153" s="250"/>
      <c r="P153" s="355"/>
      <c r="Q153" s="353"/>
      <c r="R153" s="347"/>
      <c r="S153" s="347"/>
      <c r="T153" s="345"/>
      <c r="U153" s="347"/>
      <c r="V153" s="347"/>
      <c r="W153" s="347"/>
      <c r="X153" s="128" t="str">
        <f t="shared" ref="X153:X155" si="147">IFERROR(IF(AND(Q152="Probabilidad",Q153="Probabilidad"),(Z152-(+Z152*T153)),IF(AND(Q152="Impacto",Q153="Probabilidad"),(Z151-(+Z151*T153)),IF(Q153="Impacto",Z152,""))),"")</f>
        <v/>
      </c>
      <c r="Y153" s="349"/>
      <c r="Z153" s="345"/>
      <c r="AA153" s="349"/>
      <c r="AB153" s="345"/>
      <c r="AC153" s="346"/>
      <c r="AD153" s="347"/>
      <c r="AE153" s="241"/>
      <c r="AF153" s="223"/>
      <c r="AG153" s="354"/>
      <c r="AH153" s="354"/>
      <c r="AI153" s="217"/>
      <c r="AJ153" s="223"/>
    </row>
    <row r="154" spans="1:36" x14ac:dyDescent="0.3">
      <c r="A154" s="250"/>
      <c r="B154" s="241"/>
      <c r="C154" s="241"/>
      <c r="D154" s="241"/>
      <c r="E154" s="253"/>
      <c r="F154" s="241"/>
      <c r="G154" s="336"/>
      <c r="H154" s="232"/>
      <c r="I154" s="235"/>
      <c r="J154" s="339"/>
      <c r="K154" s="208">
        <f ca="1">IF(NOT(ISERROR(MATCH(J154,_xlfn.ANCHORARRAY(#REF!),0))),#REF!&amp;"Por favor no seleccionar los criterios de impacto",J154)</f>
        <v>0</v>
      </c>
      <c r="L154" s="232"/>
      <c r="M154" s="235"/>
      <c r="N154" s="238"/>
      <c r="O154" s="250"/>
      <c r="P154" s="355"/>
      <c r="Q154" s="353"/>
      <c r="R154" s="347"/>
      <c r="S154" s="347"/>
      <c r="T154" s="345"/>
      <c r="U154" s="347"/>
      <c r="V154" s="347"/>
      <c r="W154" s="347"/>
      <c r="X154" s="128" t="str">
        <f t="shared" si="147"/>
        <v/>
      </c>
      <c r="Y154" s="349"/>
      <c r="Z154" s="345"/>
      <c r="AA154" s="349"/>
      <c r="AB154" s="345"/>
      <c r="AC154" s="346"/>
      <c r="AD154" s="347"/>
      <c r="AE154" s="241"/>
      <c r="AF154" s="223"/>
      <c r="AG154" s="354"/>
      <c r="AH154" s="354"/>
      <c r="AI154" s="217"/>
      <c r="AJ154" s="223"/>
    </row>
    <row r="155" spans="1:36" x14ac:dyDescent="0.3">
      <c r="A155" s="251"/>
      <c r="B155" s="242"/>
      <c r="C155" s="242"/>
      <c r="D155" s="242"/>
      <c r="E155" s="254"/>
      <c r="F155" s="242"/>
      <c r="G155" s="337"/>
      <c r="H155" s="233"/>
      <c r="I155" s="236"/>
      <c r="J155" s="340"/>
      <c r="K155" s="209">
        <f ca="1">IF(NOT(ISERROR(MATCH(J155,_xlfn.ANCHORARRAY(#REF!),0))),#REF!&amp;"Por favor no seleccionar los criterios de impacto",J155)</f>
        <v>0</v>
      </c>
      <c r="L155" s="233"/>
      <c r="M155" s="236"/>
      <c r="N155" s="239"/>
      <c r="O155" s="251"/>
      <c r="P155" s="342"/>
      <c r="Q155" s="334"/>
      <c r="R155" s="312"/>
      <c r="S155" s="312"/>
      <c r="T155" s="316"/>
      <c r="U155" s="312"/>
      <c r="V155" s="312"/>
      <c r="W155" s="312"/>
      <c r="X155" s="128" t="str">
        <f t="shared" si="147"/>
        <v/>
      </c>
      <c r="Y155" s="314"/>
      <c r="Z155" s="345"/>
      <c r="AA155" s="314"/>
      <c r="AB155" s="345"/>
      <c r="AC155" s="320"/>
      <c r="AD155" s="347"/>
      <c r="AE155" s="242"/>
      <c r="AF155" s="224"/>
      <c r="AG155" s="322"/>
      <c r="AH155" s="322"/>
      <c r="AI155" s="218"/>
      <c r="AJ155" s="224"/>
    </row>
    <row r="156" spans="1:36" x14ac:dyDescent="0.3">
      <c r="A156" s="195" t="s">
        <v>235</v>
      </c>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7"/>
    </row>
    <row r="157" spans="1:36" x14ac:dyDescent="0.3">
      <c r="A157" s="198"/>
      <c r="B157" s="199"/>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c r="AA157" s="199"/>
      <c r="AB157" s="199"/>
      <c r="AC157" s="199"/>
      <c r="AD157" s="199"/>
      <c r="AE157" s="199"/>
      <c r="AF157" s="199"/>
      <c r="AG157" s="199"/>
      <c r="AH157" s="199"/>
      <c r="AI157" s="199"/>
      <c r="AJ157" s="200"/>
    </row>
    <row r="158" spans="1:36" x14ac:dyDescent="0.3">
      <c r="A158" s="27"/>
      <c r="B158" s="28"/>
      <c r="C158" s="27"/>
      <c r="D158" s="27"/>
      <c r="E158" s="8"/>
      <c r="F158" s="26"/>
      <c r="G158" s="8"/>
      <c r="H158" s="8"/>
      <c r="I158" s="8"/>
      <c r="J158" s="8"/>
      <c r="K158" s="8"/>
      <c r="L158" s="8"/>
      <c r="M158" s="8"/>
      <c r="N158" s="8"/>
      <c r="O158" s="25"/>
      <c r="P158" s="8"/>
      <c r="Q158" s="8"/>
      <c r="R158" s="8"/>
      <c r="S158" s="8"/>
      <c r="T158" s="8"/>
      <c r="U158" s="8"/>
      <c r="V158" s="8"/>
      <c r="W158" s="8"/>
      <c r="X158" s="8"/>
      <c r="Y158" s="8"/>
      <c r="Z158" s="8"/>
      <c r="AA158" s="8"/>
      <c r="AB158" s="8"/>
      <c r="AC158" s="8"/>
      <c r="AD158" s="8"/>
      <c r="AE158" s="8"/>
      <c r="AF158" s="8"/>
      <c r="AG158" s="8"/>
      <c r="AH158" s="8"/>
      <c r="AI158" s="8"/>
      <c r="AJ158" s="8"/>
    </row>
    <row r="159" spans="1:36" ht="23.25" x14ac:dyDescent="0.3">
      <c r="A159" s="256" t="s">
        <v>43</v>
      </c>
      <c r="B159" s="257"/>
      <c r="C159" s="191" t="s">
        <v>236</v>
      </c>
      <c r="D159" s="192"/>
      <c r="E159" s="192"/>
      <c r="F159" s="192"/>
      <c r="G159" s="192"/>
      <c r="H159" s="192"/>
      <c r="I159" s="192"/>
      <c r="J159" s="192"/>
      <c r="K159" s="192"/>
      <c r="L159" s="192"/>
      <c r="M159" s="192"/>
      <c r="N159" s="193"/>
      <c r="O159" s="194"/>
      <c r="P159" s="194"/>
      <c r="Q159" s="194"/>
      <c r="R159" s="8"/>
      <c r="S159" s="8"/>
      <c r="T159" s="8"/>
      <c r="U159" s="8"/>
      <c r="V159" s="8"/>
      <c r="W159" s="8"/>
      <c r="X159" s="8"/>
      <c r="Y159" s="8"/>
      <c r="Z159" s="8"/>
      <c r="AA159" s="8"/>
      <c r="AB159" s="8"/>
      <c r="AC159" s="8"/>
      <c r="AD159" s="8"/>
      <c r="AE159" s="8"/>
      <c r="AF159" s="8"/>
      <c r="AG159" s="8"/>
      <c r="AH159" s="8"/>
      <c r="AI159" s="8"/>
      <c r="AJ159" s="8"/>
    </row>
    <row r="160" spans="1:36" ht="30.75" customHeight="1" x14ac:dyDescent="0.3">
      <c r="A160" s="256" t="s">
        <v>130</v>
      </c>
      <c r="B160" s="257"/>
      <c r="C160" s="191" t="s">
        <v>237</v>
      </c>
      <c r="D160" s="192"/>
      <c r="E160" s="192"/>
      <c r="F160" s="192"/>
      <c r="G160" s="192"/>
      <c r="H160" s="192"/>
      <c r="I160" s="192"/>
      <c r="J160" s="192"/>
      <c r="K160" s="192"/>
      <c r="L160" s="192"/>
      <c r="M160" s="192"/>
      <c r="N160" s="193"/>
      <c r="O160" s="25"/>
      <c r="P160" s="8"/>
      <c r="Q160" s="8"/>
      <c r="R160" s="8"/>
      <c r="S160" s="8"/>
      <c r="T160" s="8"/>
      <c r="U160" s="8"/>
      <c r="V160" s="8"/>
      <c r="W160" s="8"/>
      <c r="X160" s="8"/>
      <c r="Y160" s="8"/>
      <c r="Z160" s="8"/>
      <c r="AA160" s="8"/>
      <c r="AB160" s="8"/>
      <c r="AC160" s="8"/>
      <c r="AD160" s="8"/>
      <c r="AE160" s="8"/>
      <c r="AF160" s="8"/>
      <c r="AG160" s="8"/>
      <c r="AH160" s="8"/>
      <c r="AI160" s="8"/>
      <c r="AJ160" s="8"/>
    </row>
    <row r="161" spans="1:36" ht="33.75" customHeight="1" x14ac:dyDescent="0.3">
      <c r="A161" s="256" t="s">
        <v>44</v>
      </c>
      <c r="B161" s="257"/>
      <c r="C161" s="266" t="s">
        <v>238</v>
      </c>
      <c r="D161" s="267"/>
      <c r="E161" s="267"/>
      <c r="F161" s="267"/>
      <c r="G161" s="267"/>
      <c r="H161" s="267"/>
      <c r="I161" s="267"/>
      <c r="J161" s="267"/>
      <c r="K161" s="267"/>
      <c r="L161" s="267"/>
      <c r="M161" s="267"/>
      <c r="N161" s="268"/>
      <c r="O161" s="25"/>
      <c r="P161" s="8"/>
      <c r="Q161" s="8"/>
      <c r="R161" s="8"/>
      <c r="S161" s="8"/>
      <c r="T161" s="8"/>
      <c r="U161" s="8"/>
      <c r="V161" s="8"/>
      <c r="W161" s="8"/>
      <c r="X161" s="8"/>
      <c r="Y161" s="8"/>
      <c r="Z161" s="8"/>
      <c r="AA161" s="8"/>
      <c r="AB161" s="8"/>
      <c r="AC161" s="8"/>
      <c r="AD161" s="8"/>
      <c r="AE161" s="8"/>
      <c r="AF161" s="8"/>
      <c r="AG161" s="8"/>
      <c r="AH161" s="8"/>
      <c r="AI161" s="8"/>
      <c r="AJ161" s="8"/>
    </row>
    <row r="162" spans="1:36" x14ac:dyDescent="0.3">
      <c r="A162" s="201" t="s">
        <v>139</v>
      </c>
      <c r="B162" s="202"/>
      <c r="C162" s="202"/>
      <c r="D162" s="202"/>
      <c r="E162" s="202"/>
      <c r="F162" s="202"/>
      <c r="G162" s="203"/>
      <c r="H162" s="201" t="s">
        <v>140</v>
      </c>
      <c r="I162" s="202"/>
      <c r="J162" s="202"/>
      <c r="K162" s="202"/>
      <c r="L162" s="202"/>
      <c r="M162" s="202"/>
      <c r="N162" s="203"/>
      <c r="O162" s="201" t="s">
        <v>141</v>
      </c>
      <c r="P162" s="202"/>
      <c r="Q162" s="202"/>
      <c r="R162" s="202"/>
      <c r="S162" s="202"/>
      <c r="T162" s="202"/>
      <c r="U162" s="202"/>
      <c r="V162" s="202"/>
      <c r="W162" s="203"/>
      <c r="X162" s="201" t="s">
        <v>142</v>
      </c>
      <c r="Y162" s="202"/>
      <c r="Z162" s="202"/>
      <c r="AA162" s="202"/>
      <c r="AB162" s="202"/>
      <c r="AC162" s="202"/>
      <c r="AD162" s="203"/>
      <c r="AE162" s="201" t="s">
        <v>34</v>
      </c>
      <c r="AF162" s="202"/>
      <c r="AG162" s="202"/>
      <c r="AH162" s="202"/>
      <c r="AI162" s="202"/>
      <c r="AJ162" s="203"/>
    </row>
    <row r="163" spans="1:36" x14ac:dyDescent="0.3">
      <c r="A163" s="258" t="s">
        <v>0</v>
      </c>
      <c r="B163" s="263" t="s">
        <v>2</v>
      </c>
      <c r="C163" s="261" t="s">
        <v>3</v>
      </c>
      <c r="D163" s="261" t="s">
        <v>42</v>
      </c>
      <c r="E163" s="262" t="s">
        <v>1</v>
      </c>
      <c r="F163" s="260" t="s">
        <v>50</v>
      </c>
      <c r="G163" s="261" t="s">
        <v>135</v>
      </c>
      <c r="H163" s="270" t="s">
        <v>33</v>
      </c>
      <c r="I163" s="271" t="s">
        <v>5</v>
      </c>
      <c r="J163" s="260" t="s">
        <v>87</v>
      </c>
      <c r="K163" s="260" t="s">
        <v>92</v>
      </c>
      <c r="L163" s="273" t="s">
        <v>45</v>
      </c>
      <c r="M163" s="271" t="s">
        <v>5</v>
      </c>
      <c r="N163" s="261" t="s">
        <v>48</v>
      </c>
      <c r="O163" s="264" t="s">
        <v>11</v>
      </c>
      <c r="P163" s="255" t="s">
        <v>161</v>
      </c>
      <c r="Q163" s="260" t="s">
        <v>12</v>
      </c>
      <c r="R163" s="255" t="s">
        <v>8</v>
      </c>
      <c r="S163" s="255"/>
      <c r="T163" s="255"/>
      <c r="U163" s="255"/>
      <c r="V163" s="255"/>
      <c r="W163" s="255"/>
      <c r="X163" s="269" t="s">
        <v>138</v>
      </c>
      <c r="Y163" s="269" t="s">
        <v>46</v>
      </c>
      <c r="Z163" s="269" t="s">
        <v>5</v>
      </c>
      <c r="AA163" s="269" t="s">
        <v>47</v>
      </c>
      <c r="AB163" s="269" t="s">
        <v>5</v>
      </c>
      <c r="AC163" s="269" t="s">
        <v>49</v>
      </c>
      <c r="AD163" s="264" t="s">
        <v>29</v>
      </c>
      <c r="AE163" s="255" t="s">
        <v>34</v>
      </c>
      <c r="AF163" s="255" t="s">
        <v>35</v>
      </c>
      <c r="AG163" s="255" t="s">
        <v>36</v>
      </c>
      <c r="AH163" s="255" t="s">
        <v>38</v>
      </c>
      <c r="AI163" s="255" t="s">
        <v>37</v>
      </c>
      <c r="AJ163" s="255" t="s">
        <v>39</v>
      </c>
    </row>
    <row r="164" spans="1:36" ht="78.75" x14ac:dyDescent="0.3">
      <c r="A164" s="259"/>
      <c r="B164" s="263"/>
      <c r="C164" s="255"/>
      <c r="D164" s="255"/>
      <c r="E164" s="263"/>
      <c r="F164" s="261"/>
      <c r="G164" s="255"/>
      <c r="H164" s="261"/>
      <c r="I164" s="272"/>
      <c r="J164" s="261"/>
      <c r="K164" s="261"/>
      <c r="L164" s="272"/>
      <c r="M164" s="272"/>
      <c r="N164" s="255"/>
      <c r="O164" s="265"/>
      <c r="P164" s="255"/>
      <c r="Q164" s="261"/>
      <c r="R164" s="7" t="s">
        <v>13</v>
      </c>
      <c r="S164" s="7" t="s">
        <v>17</v>
      </c>
      <c r="T164" s="7" t="s">
        <v>28</v>
      </c>
      <c r="U164" s="7" t="s">
        <v>18</v>
      </c>
      <c r="V164" s="7" t="s">
        <v>21</v>
      </c>
      <c r="W164" s="7" t="s">
        <v>24</v>
      </c>
      <c r="X164" s="269"/>
      <c r="Y164" s="269"/>
      <c r="Z164" s="269"/>
      <c r="AA164" s="269"/>
      <c r="AB164" s="269"/>
      <c r="AC164" s="269"/>
      <c r="AD164" s="265"/>
      <c r="AE164" s="255"/>
      <c r="AF164" s="255"/>
      <c r="AG164" s="255"/>
      <c r="AH164" s="255"/>
      <c r="AI164" s="255"/>
      <c r="AJ164" s="255"/>
    </row>
    <row r="165" spans="1:36" ht="75" x14ac:dyDescent="0.3">
      <c r="A165" s="249">
        <v>1</v>
      </c>
      <c r="B165" s="240" t="s">
        <v>133</v>
      </c>
      <c r="C165" s="240" t="s">
        <v>239</v>
      </c>
      <c r="D165" s="240" t="s">
        <v>240</v>
      </c>
      <c r="E165" s="252" t="s">
        <v>241</v>
      </c>
      <c r="F165" s="240" t="s">
        <v>123</v>
      </c>
      <c r="G165" s="335">
        <v>12</v>
      </c>
      <c r="H165" s="231" t="str">
        <f>IF(G165&lt;=0,"",IF(G165&lt;=2,"Muy Baja",IF(G165&lt;=24,"Baja",IF(G165&lt;=500,"Media",IF(G165&lt;=5000,"Alta","Muy Alta")))))</f>
        <v>Baja</v>
      </c>
      <c r="I165" s="234">
        <f>IF(H165="","",IF(H165="Muy Baja",0.2,IF(H165="Baja",0.4,IF(H165="Media",0.6,IF(H165="Alta",0.8,IF(H165="Muy Alta",1,))))))</f>
        <v>0.4</v>
      </c>
      <c r="J165" s="338" t="s">
        <v>150</v>
      </c>
      <c r="K165" s="207" t="str">
        <f>IF(NOT(ISERROR(MATCH(J165,'[1]Tabla Impacto'!$B$221:$B$223,0))),'[1]Tabla Impacto'!$F$223&amp;"Por favor no seleccionar los criterios de impacto(Afectación Económica o presupuestal y Pérdida Reputacional)",J165)</f>
        <v xml:space="preserve">     Mayor a 500 SMLMV </v>
      </c>
      <c r="L165" s="231" t="str">
        <f>IF(OR(K165='[1]Tabla Impacto'!$C$11,K165='[1]Tabla Impacto'!$D$11),"Leve",IF(OR(K165='[1]Tabla Impacto'!$C$12,K165='[1]Tabla Impacto'!$D$12),"Menor",IF(OR(K165='[1]Tabla Impacto'!$C$13,K165='[1]Tabla Impacto'!$D$13),"Moderado",IF(OR(K165='[1]Tabla Impacto'!$C$14,K165='[1]Tabla Impacto'!$D$14),"Mayor",IF(OR(K165='[1]Tabla Impacto'!$C$15,K165='[1]Tabla Impacto'!$D$15),"Catastrófico","")))))</f>
        <v>Catastrófico</v>
      </c>
      <c r="M165" s="234">
        <f>IF(L165="","",IF(L165="Leve",0.2,IF(L165="Menor",0.4,IF(L165="Moderado",0.6,IF(L165="Mayor",0.8,IF(L165="Catastrófico",1,))))))</f>
        <v>1</v>
      </c>
      <c r="N165" s="237" t="str">
        <f>IF(OR(AND(H165="Muy Baja",L165="Leve"),AND(H165="Muy Baja",L165="Menor"),AND(H165="Baja",L165="Leve")),"Bajo",IF(OR(AND(H165="Muy baja",L165="Moderado"),AND(H165="Baja",L165="Menor"),AND(H165="Baja",L165="Moderado"),AND(H165="Media",L165="Leve"),AND(H165="Media",L165="Menor"),AND(H165="Media",L165="Moderado"),AND(H165="Alta",L165="Leve"),AND(H165="Alta",L165="Menor")),"Moderado",IF(OR(AND(H165="Muy Baja",L165="Mayor"),AND(H165="Baja",L165="Mayor"),AND(H165="Media",L165="Mayor"),AND(H165="Alta",L165="Moderado"),AND(H165="Alta",L165="Mayor"),AND(H165="Muy Alta",L165="Leve"),AND(H165="Muy Alta",L165="Menor"),AND(H165="Muy Alta",L165="Moderado"),AND(H165="Muy Alta",L165="Mayor")),"Alto",IF(OR(AND(H165="Muy Baja",L165="Catastrófico"),AND(H165="Baja",L165="Catastrófico"),AND(H165="Media",L165="Catastrófico"),AND(H165="Alta",L165="Catastrófico"),AND(H165="Muy Alta",L165="Catastrófico")),"Extremo",""))))</f>
        <v>Extremo</v>
      </c>
      <c r="O165" s="139">
        <v>1</v>
      </c>
      <c r="P165" s="146" t="s">
        <v>242</v>
      </c>
      <c r="Q165" s="141" t="str">
        <f>IF(OR(R165="Preventivo",R165="Detectivo"),"Probabilidad",IF(R165="Correctivo","Impacto",""))</f>
        <v>Probabilidad</v>
      </c>
      <c r="R165" s="142" t="s">
        <v>14</v>
      </c>
      <c r="S165" s="142" t="s">
        <v>9</v>
      </c>
      <c r="T165" s="143" t="str">
        <f>IF(AND(R165="Preventivo",S165="Automático"),"50%",IF(AND(R165="Preventivo",S165="Manual"),"40%",IF(AND(R165="Detectivo",S165="Automático"),"40%",IF(AND(R165="Detectivo",S165="Manual"),"30%",IF(AND(R165="Correctivo",S165="Automático"),"35%",IF(AND(R165="Correctivo",S165="Manual"),"25%",""))))))</f>
        <v>40%</v>
      </c>
      <c r="U165" s="142" t="s">
        <v>19</v>
      </c>
      <c r="V165" s="142" t="s">
        <v>22</v>
      </c>
      <c r="W165" s="142" t="s">
        <v>119</v>
      </c>
      <c r="X165" s="140">
        <f>IFERROR(IF(Q165="Probabilidad",(I165-(+I165*T165)),IF(Q165="Impacto",I165,"")),"")</f>
        <v>0.24</v>
      </c>
      <c r="Y165" s="144" t="str">
        <f>IFERROR(IF(X165="","",IF(X165&lt;=0.2,"Muy Baja",IF(X165&lt;=0.4,"Baja",IF(X165&lt;=0.6,"Media",IF(X165&lt;=0.8,"Alta","Muy Alta"))))),"")</f>
        <v>Baja</v>
      </c>
      <c r="Z165" s="143">
        <f>+X165</f>
        <v>0.24</v>
      </c>
      <c r="AA165" s="144" t="str">
        <f>IFERROR(IF(AB165="","",IF(AB165&lt;=0.2,"Leve",IF(AB165&lt;=0.4,"Menor",IF(AB165&lt;=0.6,"Moderado",IF(AB165&lt;=0.8,"Mayor","Catastrófico"))))),"")</f>
        <v>Catastrófico</v>
      </c>
      <c r="AB165" s="143">
        <f>IFERROR(IF(Q165="Impacto",(M165-(+M165*T165)),IF(Q165="Probabilidad",M165,"")),"")</f>
        <v>1</v>
      </c>
      <c r="AC165" s="145" t="str">
        <f>IFERROR(IF(OR(AND(Y165="Muy Baja",AA165="Leve"),AND(Y165="Muy Baja",AA165="Menor"),AND(Y165="Baja",AA165="Leve")),"Bajo",IF(OR(AND(Y165="Muy baja",AA165="Moderado"),AND(Y165="Baja",AA165="Menor"),AND(Y165="Baja",AA165="Moderado"),AND(Y165="Media",AA165="Leve"),AND(Y165="Media",AA165="Menor"),AND(Y165="Media",AA165="Moderado"),AND(Y165="Alta",AA165="Leve"),AND(Y165="Alta",AA165="Menor")),"Moderado",IF(OR(AND(Y165="Muy Baja",AA165="Mayor"),AND(Y165="Baja",AA165="Mayor"),AND(Y165="Media",AA165="Mayor"),AND(Y165="Alta",AA165="Moderado"),AND(Y165="Alta",AA165="Mayor"),AND(Y165="Muy Alta",AA165="Leve"),AND(Y165="Muy Alta",AA165="Menor"),AND(Y165="Muy Alta",AA165="Moderado"),AND(Y165="Muy Alta",AA165="Mayor")),"Alto",IF(OR(AND(Y165="Muy Baja",AA165="Catastrófico"),AND(Y165="Baja",AA165="Catastrófico"),AND(Y165="Media",AA165="Catastrófico"),AND(Y165="Alta",AA165="Catastrófico"),AND(Y165="Muy Alta",AA165="Catastrófico")),"Extremo","")))),"")</f>
        <v>Extremo</v>
      </c>
      <c r="AD165" s="142" t="s">
        <v>136</v>
      </c>
      <c r="AE165" s="216"/>
      <c r="AF165" s="222"/>
      <c r="AG165" s="321"/>
      <c r="AH165" s="321"/>
      <c r="AI165" s="216"/>
      <c r="AJ165" s="222"/>
    </row>
    <row r="166" spans="1:36" ht="75" x14ac:dyDescent="0.3">
      <c r="A166" s="250"/>
      <c r="B166" s="241"/>
      <c r="C166" s="241"/>
      <c r="D166" s="241"/>
      <c r="E166" s="253"/>
      <c r="F166" s="241"/>
      <c r="G166" s="336"/>
      <c r="H166" s="232"/>
      <c r="I166" s="235"/>
      <c r="J166" s="339"/>
      <c r="K166" s="208">
        <f ca="1">IF(NOT(ISERROR(MATCH(J166,_xlfn.ANCHORARRAY(E177),0))),I179&amp;"Por favor no seleccionar los criterios de impacto",J166)</f>
        <v>0</v>
      </c>
      <c r="L166" s="232"/>
      <c r="M166" s="235"/>
      <c r="N166" s="238"/>
      <c r="O166" s="139">
        <v>2</v>
      </c>
      <c r="P166" s="147" t="s">
        <v>243</v>
      </c>
      <c r="Q166" s="141" t="str">
        <f>IF(OR(R166="Preventivo",R166="Detectivo"),"Probabilidad",IF(R166="Correctivo","Impacto",""))</f>
        <v>Probabilidad</v>
      </c>
      <c r="R166" s="142" t="s">
        <v>14</v>
      </c>
      <c r="S166" s="142" t="s">
        <v>9</v>
      </c>
      <c r="T166" s="143" t="str">
        <f>IF(AND(R166="Preventivo",S166="Automático"),"50%",IF(AND(R166="Preventivo",S166="Manual"),"40%",IF(AND(R166="Detectivo",S166="Automático"),"40%",IF(AND(R166="Detectivo",S166="Manual"),"30%",IF(AND(R166="Correctivo",S166="Automático"),"35%",IF(AND(R166="Correctivo",S166="Manual"),"25%",""))))))</f>
        <v>40%</v>
      </c>
      <c r="U166" s="142" t="s">
        <v>19</v>
      </c>
      <c r="V166" s="142" t="s">
        <v>22</v>
      </c>
      <c r="W166" s="142" t="s">
        <v>119</v>
      </c>
      <c r="X166" s="140">
        <f>IFERROR(IF(Q165="Probabilidad",(I165-(+I165*T165)),IF(Q165="Impacto",I165,"")),"")</f>
        <v>0.24</v>
      </c>
      <c r="Y166" s="144" t="str">
        <f>IFERROR(IF(X166="","",IF(X166&lt;=0.2,"Muy Baja",IF(X166&lt;=0.4,"Baja",IF(X166&lt;=0.6,"Media",IF(X166&lt;=0.8,"Alta","Muy Alta"))))),"")</f>
        <v>Baja</v>
      </c>
      <c r="Z166" s="143">
        <f>+X166</f>
        <v>0.24</v>
      </c>
      <c r="AA166" s="144" t="str">
        <f>IFERROR(IF(AB166="","",IF(AB166&lt;=0.2,"Leve",IF(AB166&lt;=0.4,"Menor",IF(AB166&lt;=0.6,"Moderado",IF(AB166&lt;=0.8,"Mayor","Catastrófico"))))),"")</f>
        <v>Catastrófico</v>
      </c>
      <c r="AB166" s="143">
        <f>IFERROR(IF(Q165="Impacto",(M165-(+M165*T165)),IF(Q165="Probabilidad",M165,"")),"")</f>
        <v>1</v>
      </c>
      <c r="AC166" s="145" t="str">
        <f>IFERROR(IF(OR(AND(Y166="Muy Baja",AA166="Leve"),AND(Y166="Muy Baja",AA166="Menor"),AND(Y166="Baja",AA166="Leve")),"Bajo",IF(OR(AND(Y166="Muy baja",AA166="Moderado"),AND(Y166="Baja",AA166="Menor"),AND(Y166="Baja",AA166="Moderado"),AND(Y166="Media",AA166="Leve"),AND(Y166="Media",AA166="Menor"),AND(Y166="Media",AA166="Moderado"),AND(Y166="Alta",AA166="Leve"),AND(Y166="Alta",AA166="Menor")),"Moderado",IF(OR(AND(Y166="Muy Baja",AA166="Mayor"),AND(Y166="Baja",AA166="Mayor"),AND(Y166="Media",AA166="Mayor"),AND(Y166="Alta",AA166="Moderado"),AND(Y166="Alta",AA166="Mayor"),AND(Y166="Muy Alta",AA166="Leve"),AND(Y166="Muy Alta",AA166="Menor"),AND(Y166="Muy Alta",AA166="Moderado"),AND(Y166="Muy Alta",AA166="Mayor")),"Alto",IF(OR(AND(Y166="Muy Baja",AA166="Catastrófico"),AND(Y166="Baja",AA166="Catastrófico"),AND(Y166="Media",AA166="Catastrófico"),AND(Y166="Alta",AA166="Catastrófico"),AND(Y166="Muy Alta",AA166="Catastrófico")),"Extremo","")))),"")</f>
        <v>Extremo</v>
      </c>
      <c r="AD166" s="142" t="s">
        <v>136</v>
      </c>
      <c r="AE166" s="218"/>
      <c r="AF166" s="224"/>
      <c r="AG166" s="322"/>
      <c r="AH166" s="322"/>
      <c r="AI166" s="218"/>
      <c r="AJ166" s="224"/>
    </row>
    <row r="167" spans="1:36" hidden="1" x14ac:dyDescent="0.3">
      <c r="A167" s="250"/>
      <c r="B167" s="241"/>
      <c r="C167" s="241"/>
      <c r="D167" s="241"/>
      <c r="E167" s="253"/>
      <c r="F167" s="241"/>
      <c r="G167" s="336"/>
      <c r="H167" s="232"/>
      <c r="I167" s="235"/>
      <c r="J167" s="339"/>
      <c r="K167" s="208">
        <f ca="1">IF(NOT(ISERROR(MATCH(J167,_xlfn.ANCHORARRAY(E178),0))),I180&amp;"Por favor no seleccionar los criterios de impacto",J167)</f>
        <v>0</v>
      </c>
      <c r="L167" s="232"/>
      <c r="M167" s="235"/>
      <c r="N167" s="238"/>
      <c r="O167" s="139">
        <v>3</v>
      </c>
      <c r="P167" s="136"/>
      <c r="Q167" s="125" t="str">
        <f>IF(OR(R167="Preventivo",R167="Detectivo"),"Probabilidad",IF(R167="Correctivo","Impacto",""))</f>
        <v/>
      </c>
      <c r="R167" s="126"/>
      <c r="S167" s="126"/>
      <c r="T167" s="127" t="str">
        <f t="shared" ref="T167:T170" si="148">IF(AND(R167="Preventivo",S167="Automático"),"50%",IF(AND(R167="Preventivo",S167="Manual"),"40%",IF(AND(R167="Detectivo",S167="Automático"),"40%",IF(AND(R167="Detectivo",S167="Manual"),"30%",IF(AND(R167="Correctivo",S167="Automático"),"35%",IF(AND(R167="Correctivo",S167="Manual"),"25%",""))))))</f>
        <v/>
      </c>
      <c r="U167" s="126"/>
      <c r="V167" s="126"/>
      <c r="W167" s="126"/>
      <c r="X167" s="128" t="str">
        <f>IFERROR(IF(AND(Q166="Probabilidad",Q167="Probabilidad"),(Z166-(+Z166*T167)),IF(AND(Q166="Impacto",Q167="Probabilidad"),(Z165-(+Z165*T167)),IF(Q167="Impacto",Z166,""))),"")</f>
        <v/>
      </c>
      <c r="Y167" s="129" t="str">
        <f t="shared" ref="Y167:Y170" si="149">IFERROR(IF(X167="","",IF(X167&lt;=0.2,"Muy Baja",IF(X167&lt;=0.4,"Baja",IF(X167&lt;=0.6,"Media",IF(X167&lt;=0.8,"Alta","Muy Alta"))))),"")</f>
        <v/>
      </c>
      <c r="Z167" s="130" t="str">
        <f t="shared" ref="Z167:Z170" si="150">+X167</f>
        <v/>
      </c>
      <c r="AA167" s="129" t="str">
        <f t="shared" ref="AA167:AA170" si="151">IFERROR(IF(AB167="","",IF(AB167&lt;=0.2,"Leve",IF(AB167&lt;=0.4,"Menor",IF(AB167&lt;=0.6,"Moderado",IF(AB167&lt;=0.8,"Mayor","Catastrófico"))))),"")</f>
        <v/>
      </c>
      <c r="AB167" s="138" t="str">
        <f>IFERROR(IF(AND(Q166="Impacto",Q167="Impacto"),(AB166-(+AB166*T167)),IF(AND(Q166="Probabilidad",Q167="Impacto"),(AB165-(+AB165*T167)),IF(Q167="Probabilidad",AB166,""))),"")</f>
        <v/>
      </c>
      <c r="AC167" s="131" t="str">
        <f t="shared" ref="AC167:AC170" si="152">IFERROR(IF(OR(AND(Y167="Muy Baja",AA167="Leve"),AND(Y167="Muy Baja",AA167="Menor"),AND(Y167="Baja",AA167="Leve")),"Bajo",IF(OR(AND(Y167="Muy baja",AA167="Moderado"),AND(Y167="Baja",AA167="Menor"),AND(Y167="Baja",AA167="Moderado"),AND(Y167="Media",AA167="Leve"),AND(Y167="Media",AA167="Menor"),AND(Y167="Media",AA167="Moderado"),AND(Y167="Alta",AA167="Leve"),AND(Y167="Alta",AA167="Menor")),"Moderado",IF(OR(AND(Y167="Muy Baja",AA167="Mayor"),AND(Y167="Baja",AA167="Mayor"),AND(Y167="Media",AA167="Mayor"),AND(Y167="Alta",AA167="Moderado"),AND(Y167="Alta",AA167="Mayor"),AND(Y167="Muy Alta",AA167="Leve"),AND(Y167="Muy Alta",AA167="Menor"),AND(Y167="Muy Alta",AA167="Moderado"),AND(Y167="Muy Alta",AA167="Mayor")),"Alto",IF(OR(AND(Y167="Muy Baja",AA167="Catastrófico"),AND(Y167="Baja",AA167="Catastrófico"),AND(Y167="Media",AA167="Catastrófico"),AND(Y167="Alta",AA167="Catastrófico"),AND(Y167="Muy Alta",AA167="Catastrófico")),"Extremo","")))),"")</f>
        <v/>
      </c>
      <c r="AD167" s="132"/>
      <c r="AE167" s="133"/>
      <c r="AF167" s="134"/>
      <c r="AG167" s="135"/>
      <c r="AH167" s="135"/>
      <c r="AI167" s="133"/>
      <c r="AJ167" s="134"/>
    </row>
    <row r="168" spans="1:36" hidden="1" x14ac:dyDescent="0.3">
      <c r="A168" s="250"/>
      <c r="B168" s="241"/>
      <c r="C168" s="241"/>
      <c r="D168" s="241"/>
      <c r="E168" s="253"/>
      <c r="F168" s="241"/>
      <c r="G168" s="336"/>
      <c r="H168" s="232"/>
      <c r="I168" s="235"/>
      <c r="J168" s="339"/>
      <c r="K168" s="208">
        <f ca="1">IF(NOT(ISERROR(MATCH(J168,_xlfn.ANCHORARRAY(E179),0))),I181&amp;"Por favor no seleccionar los criterios de impacto",J168)</f>
        <v>0</v>
      </c>
      <c r="L168" s="232"/>
      <c r="M168" s="235"/>
      <c r="N168" s="238"/>
      <c r="O168" s="139">
        <v>4</v>
      </c>
      <c r="P168" s="124"/>
      <c r="Q168" s="125" t="str">
        <f t="shared" ref="Q168:Q170" si="153">IF(OR(R168="Preventivo",R168="Detectivo"),"Probabilidad",IF(R168="Correctivo","Impacto",""))</f>
        <v/>
      </c>
      <c r="R168" s="126"/>
      <c r="S168" s="126"/>
      <c r="T168" s="127" t="str">
        <f t="shared" si="148"/>
        <v/>
      </c>
      <c r="U168" s="126"/>
      <c r="V168" s="126"/>
      <c r="W168" s="126"/>
      <c r="X168" s="128" t="str">
        <f t="shared" ref="X168:X170" si="154">IFERROR(IF(AND(Q167="Probabilidad",Q168="Probabilidad"),(Z167-(+Z167*T168)),IF(AND(Q167="Impacto",Q168="Probabilidad"),(Z166-(+Z166*T168)),IF(Q168="Impacto",Z167,""))),"")</f>
        <v/>
      </c>
      <c r="Y168" s="129" t="str">
        <f t="shared" si="149"/>
        <v/>
      </c>
      <c r="Z168" s="130" t="str">
        <f t="shared" si="150"/>
        <v/>
      </c>
      <c r="AA168" s="129" t="str">
        <f t="shared" si="151"/>
        <v/>
      </c>
      <c r="AB168" s="138" t="str">
        <f t="shared" ref="AB168:AB170" si="155">IFERROR(IF(AND(Q167="Impacto",Q168="Impacto"),(AB167-(+AB167*T168)),IF(AND(Q167="Probabilidad",Q168="Impacto"),(AB166-(+AB166*T168)),IF(Q168="Probabilidad",AB167,""))),"")</f>
        <v/>
      </c>
      <c r="AC168" s="131" t="str">
        <f>IFERROR(IF(OR(AND(Y168="Muy Baja",AA168="Leve"),AND(Y168="Muy Baja",AA168="Menor"),AND(Y168="Baja",AA168="Leve")),"Bajo",IF(OR(AND(Y168="Muy baja",AA168="Moderado"),AND(Y168="Baja",AA168="Menor"),AND(Y168="Baja",AA168="Moderado"),AND(Y168="Media",AA168="Leve"),AND(Y168="Media",AA168="Menor"),AND(Y168="Media",AA168="Moderado"),AND(Y168="Alta",AA168="Leve"),AND(Y168="Alta",AA168="Menor")),"Moderado",IF(OR(AND(Y168="Muy Baja",AA168="Mayor"),AND(Y168="Baja",AA168="Mayor"),AND(Y168="Media",AA168="Mayor"),AND(Y168="Alta",AA168="Moderado"),AND(Y168="Alta",AA168="Mayor"),AND(Y168="Muy Alta",AA168="Leve"),AND(Y168="Muy Alta",AA168="Menor"),AND(Y168="Muy Alta",AA168="Moderado"),AND(Y168="Muy Alta",AA168="Mayor")),"Alto",IF(OR(AND(Y168="Muy Baja",AA168="Catastrófico"),AND(Y168="Baja",AA168="Catastrófico"),AND(Y168="Media",AA168="Catastrófico"),AND(Y168="Alta",AA168="Catastrófico"),AND(Y168="Muy Alta",AA168="Catastrófico")),"Extremo","")))),"")</f>
        <v/>
      </c>
      <c r="AD168" s="132"/>
      <c r="AE168" s="133"/>
      <c r="AF168" s="134"/>
      <c r="AG168" s="135"/>
      <c r="AH168" s="135"/>
      <c r="AI168" s="133"/>
      <c r="AJ168" s="134"/>
    </row>
    <row r="169" spans="1:36" hidden="1" x14ac:dyDescent="0.3">
      <c r="A169" s="250"/>
      <c r="B169" s="241"/>
      <c r="C169" s="241"/>
      <c r="D169" s="241"/>
      <c r="E169" s="253"/>
      <c r="F169" s="241"/>
      <c r="G169" s="336"/>
      <c r="H169" s="232"/>
      <c r="I169" s="235"/>
      <c r="J169" s="339"/>
      <c r="K169" s="208">
        <f ca="1">IF(NOT(ISERROR(MATCH(J169,_xlfn.ANCHORARRAY(E180),0))),I182&amp;"Por favor no seleccionar los criterios de impacto",J169)</f>
        <v>0</v>
      </c>
      <c r="L169" s="232"/>
      <c r="M169" s="235"/>
      <c r="N169" s="238"/>
      <c r="O169" s="139">
        <v>5</v>
      </c>
      <c r="P169" s="124"/>
      <c r="Q169" s="125" t="str">
        <f t="shared" si="153"/>
        <v/>
      </c>
      <c r="R169" s="126"/>
      <c r="S169" s="126"/>
      <c r="T169" s="127" t="str">
        <f t="shared" si="148"/>
        <v/>
      </c>
      <c r="U169" s="126"/>
      <c r="V169" s="126"/>
      <c r="W169" s="126"/>
      <c r="X169" s="128" t="str">
        <f t="shared" si="154"/>
        <v/>
      </c>
      <c r="Y169" s="129" t="str">
        <f t="shared" si="149"/>
        <v/>
      </c>
      <c r="Z169" s="130" t="str">
        <f t="shared" si="150"/>
        <v/>
      </c>
      <c r="AA169" s="129" t="str">
        <f t="shared" si="151"/>
        <v/>
      </c>
      <c r="AB169" s="138" t="str">
        <f t="shared" si="155"/>
        <v/>
      </c>
      <c r="AC169" s="131" t="str">
        <f t="shared" si="152"/>
        <v/>
      </c>
      <c r="AD169" s="132"/>
      <c r="AE169" s="133"/>
      <c r="AF169" s="134"/>
      <c r="AG169" s="135"/>
      <c r="AH169" s="135"/>
      <c r="AI169" s="133"/>
      <c r="AJ169" s="134"/>
    </row>
    <row r="170" spans="1:36" hidden="1" x14ac:dyDescent="0.3">
      <c r="A170" s="251"/>
      <c r="B170" s="242"/>
      <c r="C170" s="242"/>
      <c r="D170" s="242"/>
      <c r="E170" s="254"/>
      <c r="F170" s="242"/>
      <c r="G170" s="337"/>
      <c r="H170" s="233"/>
      <c r="I170" s="236"/>
      <c r="J170" s="340"/>
      <c r="K170" s="209">
        <f ca="1">IF(NOT(ISERROR(MATCH(J170,_xlfn.ANCHORARRAY(E181),0))),I183&amp;"Por favor no seleccionar los criterios de impacto",J170)</f>
        <v>0</v>
      </c>
      <c r="L170" s="233"/>
      <c r="M170" s="236"/>
      <c r="N170" s="239"/>
      <c r="O170" s="139">
        <v>6</v>
      </c>
      <c r="P170" s="124"/>
      <c r="Q170" s="125" t="str">
        <f t="shared" si="153"/>
        <v/>
      </c>
      <c r="R170" s="126"/>
      <c r="S170" s="126"/>
      <c r="T170" s="127" t="str">
        <f t="shared" si="148"/>
        <v/>
      </c>
      <c r="U170" s="126"/>
      <c r="V170" s="126"/>
      <c r="W170" s="126"/>
      <c r="X170" s="128" t="str">
        <f t="shared" si="154"/>
        <v/>
      </c>
      <c r="Y170" s="129" t="str">
        <f t="shared" si="149"/>
        <v/>
      </c>
      <c r="Z170" s="130" t="str">
        <f t="shared" si="150"/>
        <v/>
      </c>
      <c r="AA170" s="129" t="str">
        <f t="shared" si="151"/>
        <v/>
      </c>
      <c r="AB170" s="138" t="str">
        <f t="shared" si="155"/>
        <v/>
      </c>
      <c r="AC170" s="131" t="str">
        <f t="shared" si="152"/>
        <v/>
      </c>
      <c r="AD170" s="132"/>
      <c r="AE170" s="133"/>
      <c r="AF170" s="134"/>
      <c r="AG170" s="135"/>
      <c r="AH170" s="135"/>
      <c r="AI170" s="133"/>
      <c r="AJ170" s="134"/>
    </row>
    <row r="171" spans="1:36" x14ac:dyDescent="0.3">
      <c r="A171" s="195" t="s">
        <v>216</v>
      </c>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7"/>
    </row>
    <row r="172" spans="1:36" x14ac:dyDescent="0.3">
      <c r="A172" s="198"/>
      <c r="B172" s="199"/>
      <c r="C172" s="199"/>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c r="AA172" s="199"/>
      <c r="AB172" s="199"/>
      <c r="AC172" s="199"/>
      <c r="AD172" s="199"/>
      <c r="AE172" s="199"/>
      <c r="AF172" s="199"/>
      <c r="AG172" s="199"/>
      <c r="AH172" s="199"/>
      <c r="AI172" s="199"/>
      <c r="AJ172" s="200"/>
    </row>
    <row r="173" spans="1:36" x14ac:dyDescent="0.3">
      <c r="A173" s="27"/>
      <c r="B173" s="28"/>
      <c r="C173" s="27"/>
      <c r="D173" s="27"/>
      <c r="E173" s="8"/>
      <c r="F173" s="26"/>
      <c r="G173" s="8"/>
      <c r="H173" s="8"/>
      <c r="I173" s="8"/>
      <c r="J173" s="8"/>
      <c r="K173" s="8"/>
      <c r="L173" s="8"/>
      <c r="M173" s="8"/>
      <c r="N173" s="8"/>
      <c r="O173" s="25"/>
      <c r="P173" s="8"/>
      <c r="Q173" s="8"/>
      <c r="R173" s="8"/>
      <c r="S173" s="8"/>
      <c r="T173" s="8"/>
      <c r="U173" s="8"/>
      <c r="V173" s="8"/>
      <c r="W173" s="8"/>
      <c r="X173" s="8"/>
      <c r="Y173" s="8"/>
      <c r="Z173" s="8"/>
      <c r="AA173" s="8"/>
      <c r="AB173" s="8"/>
      <c r="AC173" s="8"/>
      <c r="AD173" s="8"/>
      <c r="AE173" s="8"/>
      <c r="AF173" s="8"/>
      <c r="AG173" s="8"/>
      <c r="AH173" s="8"/>
      <c r="AI173" s="8"/>
      <c r="AJ173" s="8"/>
    </row>
    <row r="174" spans="1:36" ht="23.25" x14ac:dyDescent="0.3">
      <c r="A174" s="256" t="s">
        <v>43</v>
      </c>
      <c r="B174" s="257"/>
      <c r="C174" s="191" t="s">
        <v>244</v>
      </c>
      <c r="D174" s="192"/>
      <c r="E174" s="192"/>
      <c r="F174" s="192"/>
      <c r="G174" s="192"/>
      <c r="H174" s="192"/>
      <c r="I174" s="192"/>
      <c r="J174" s="192"/>
      <c r="K174" s="192"/>
      <c r="L174" s="192"/>
      <c r="M174" s="192"/>
      <c r="N174" s="193"/>
      <c r="O174" s="194"/>
      <c r="P174" s="194"/>
      <c r="Q174" s="194"/>
      <c r="R174" s="8"/>
      <c r="S174" s="8"/>
      <c r="T174" s="8"/>
      <c r="U174" s="8"/>
      <c r="V174" s="8"/>
      <c r="W174" s="8"/>
      <c r="X174" s="8"/>
      <c r="Y174" s="8"/>
      <c r="Z174" s="8"/>
      <c r="AA174" s="8"/>
      <c r="AB174" s="8"/>
      <c r="AC174" s="8"/>
      <c r="AD174" s="8"/>
      <c r="AE174" s="8"/>
      <c r="AF174" s="8"/>
      <c r="AG174" s="8"/>
      <c r="AH174" s="8"/>
      <c r="AI174" s="8"/>
      <c r="AJ174" s="8"/>
    </row>
    <row r="175" spans="1:36" ht="23.25" x14ac:dyDescent="0.3">
      <c r="A175" s="256" t="s">
        <v>130</v>
      </c>
      <c r="B175" s="257"/>
      <c r="C175" s="191" t="s">
        <v>237</v>
      </c>
      <c r="D175" s="192"/>
      <c r="E175" s="192"/>
      <c r="F175" s="192"/>
      <c r="G175" s="192"/>
      <c r="H175" s="192"/>
      <c r="I175" s="192"/>
      <c r="J175" s="192"/>
      <c r="K175" s="192"/>
      <c r="L175" s="192"/>
      <c r="M175" s="192"/>
      <c r="N175" s="193"/>
      <c r="O175" s="25"/>
      <c r="P175" s="8"/>
      <c r="Q175" s="8"/>
      <c r="R175" s="8"/>
      <c r="S175" s="8"/>
      <c r="T175" s="8"/>
      <c r="U175" s="8"/>
      <c r="V175" s="8"/>
      <c r="W175" s="8"/>
      <c r="X175" s="8"/>
      <c r="Y175" s="8"/>
      <c r="Z175" s="8"/>
      <c r="AA175" s="8"/>
      <c r="AB175" s="8"/>
      <c r="AC175" s="8"/>
      <c r="AD175" s="8"/>
      <c r="AE175" s="8"/>
      <c r="AF175" s="8"/>
      <c r="AG175" s="8"/>
      <c r="AH175" s="8"/>
      <c r="AI175" s="8"/>
      <c r="AJ175" s="8"/>
    </row>
    <row r="176" spans="1:36" ht="23.25" x14ac:dyDescent="0.3">
      <c r="A176" s="256" t="s">
        <v>44</v>
      </c>
      <c r="B176" s="257"/>
      <c r="C176" s="266" t="s">
        <v>245</v>
      </c>
      <c r="D176" s="267"/>
      <c r="E176" s="267"/>
      <c r="F176" s="267"/>
      <c r="G176" s="267"/>
      <c r="H176" s="267"/>
      <c r="I176" s="267"/>
      <c r="J176" s="267"/>
      <c r="K176" s="267"/>
      <c r="L176" s="267"/>
      <c r="M176" s="267"/>
      <c r="N176" s="268"/>
      <c r="O176" s="25"/>
      <c r="P176" s="8"/>
      <c r="Q176" s="8"/>
      <c r="R176" s="8"/>
      <c r="S176" s="8"/>
      <c r="T176" s="8"/>
      <c r="U176" s="8"/>
      <c r="V176" s="8"/>
      <c r="W176" s="8"/>
      <c r="X176" s="8"/>
      <c r="Y176" s="8"/>
      <c r="Z176" s="8"/>
      <c r="AA176" s="8"/>
      <c r="AB176" s="8"/>
      <c r="AC176" s="8"/>
      <c r="AD176" s="8"/>
      <c r="AE176" s="8"/>
      <c r="AF176" s="8"/>
      <c r="AG176" s="8"/>
      <c r="AH176" s="8"/>
      <c r="AI176" s="8"/>
      <c r="AJ176" s="8"/>
    </row>
    <row r="177" spans="1:36" x14ac:dyDescent="0.3">
      <c r="A177" s="201" t="s">
        <v>139</v>
      </c>
      <c r="B177" s="202"/>
      <c r="C177" s="202"/>
      <c r="D177" s="202"/>
      <c r="E177" s="202"/>
      <c r="F177" s="202"/>
      <c r="G177" s="203"/>
      <c r="H177" s="201" t="s">
        <v>140</v>
      </c>
      <c r="I177" s="202"/>
      <c r="J177" s="202"/>
      <c r="K177" s="202"/>
      <c r="L177" s="202"/>
      <c r="M177" s="202"/>
      <c r="N177" s="203"/>
      <c r="O177" s="201" t="s">
        <v>141</v>
      </c>
      <c r="P177" s="202"/>
      <c r="Q177" s="202"/>
      <c r="R177" s="202"/>
      <c r="S177" s="202"/>
      <c r="T177" s="202"/>
      <c r="U177" s="202"/>
      <c r="V177" s="202"/>
      <c r="W177" s="203"/>
      <c r="X177" s="201" t="s">
        <v>142</v>
      </c>
      <c r="Y177" s="202"/>
      <c r="Z177" s="202"/>
      <c r="AA177" s="202"/>
      <c r="AB177" s="202"/>
      <c r="AC177" s="202"/>
      <c r="AD177" s="203"/>
      <c r="AE177" s="201" t="s">
        <v>34</v>
      </c>
      <c r="AF177" s="202"/>
      <c r="AG177" s="202"/>
      <c r="AH177" s="202"/>
      <c r="AI177" s="202"/>
      <c r="AJ177" s="203"/>
    </row>
    <row r="178" spans="1:36" x14ac:dyDescent="0.3">
      <c r="A178" s="258" t="s">
        <v>0</v>
      </c>
      <c r="B178" s="263" t="s">
        <v>2</v>
      </c>
      <c r="C178" s="261" t="s">
        <v>3</v>
      </c>
      <c r="D178" s="261" t="s">
        <v>42</v>
      </c>
      <c r="E178" s="262" t="s">
        <v>1</v>
      </c>
      <c r="F178" s="260" t="s">
        <v>50</v>
      </c>
      <c r="G178" s="261" t="s">
        <v>135</v>
      </c>
      <c r="H178" s="270" t="s">
        <v>33</v>
      </c>
      <c r="I178" s="271" t="s">
        <v>5</v>
      </c>
      <c r="J178" s="260" t="s">
        <v>87</v>
      </c>
      <c r="K178" s="260" t="s">
        <v>92</v>
      </c>
      <c r="L178" s="273" t="s">
        <v>45</v>
      </c>
      <c r="M178" s="271" t="s">
        <v>5</v>
      </c>
      <c r="N178" s="261" t="s">
        <v>48</v>
      </c>
      <c r="O178" s="264" t="s">
        <v>11</v>
      </c>
      <c r="P178" s="255" t="s">
        <v>161</v>
      </c>
      <c r="Q178" s="260" t="s">
        <v>12</v>
      </c>
      <c r="R178" s="255" t="s">
        <v>8</v>
      </c>
      <c r="S178" s="255"/>
      <c r="T178" s="255"/>
      <c r="U178" s="255"/>
      <c r="V178" s="255"/>
      <c r="W178" s="255"/>
      <c r="X178" s="269" t="s">
        <v>138</v>
      </c>
      <c r="Y178" s="269" t="s">
        <v>46</v>
      </c>
      <c r="Z178" s="269" t="s">
        <v>5</v>
      </c>
      <c r="AA178" s="269" t="s">
        <v>47</v>
      </c>
      <c r="AB178" s="269" t="s">
        <v>5</v>
      </c>
      <c r="AC178" s="269" t="s">
        <v>49</v>
      </c>
      <c r="AD178" s="264" t="s">
        <v>29</v>
      </c>
      <c r="AE178" s="255" t="s">
        <v>34</v>
      </c>
      <c r="AF178" s="255" t="s">
        <v>35</v>
      </c>
      <c r="AG178" s="255" t="s">
        <v>36</v>
      </c>
      <c r="AH178" s="255" t="s">
        <v>38</v>
      </c>
      <c r="AI178" s="255" t="s">
        <v>37</v>
      </c>
      <c r="AJ178" s="255" t="s">
        <v>39</v>
      </c>
    </row>
    <row r="179" spans="1:36" ht="78.75" x14ac:dyDescent="0.3">
      <c r="A179" s="259"/>
      <c r="B179" s="263"/>
      <c r="C179" s="255"/>
      <c r="D179" s="255"/>
      <c r="E179" s="263"/>
      <c r="F179" s="261"/>
      <c r="G179" s="255"/>
      <c r="H179" s="261"/>
      <c r="I179" s="272"/>
      <c r="J179" s="261"/>
      <c r="K179" s="261"/>
      <c r="L179" s="272"/>
      <c r="M179" s="272"/>
      <c r="N179" s="255"/>
      <c r="O179" s="265"/>
      <c r="P179" s="255"/>
      <c r="Q179" s="261"/>
      <c r="R179" s="7" t="s">
        <v>13</v>
      </c>
      <c r="S179" s="7" t="s">
        <v>17</v>
      </c>
      <c r="T179" s="7" t="s">
        <v>28</v>
      </c>
      <c r="U179" s="7" t="s">
        <v>18</v>
      </c>
      <c r="V179" s="7" t="s">
        <v>21</v>
      </c>
      <c r="W179" s="7" t="s">
        <v>24</v>
      </c>
      <c r="X179" s="269"/>
      <c r="Y179" s="269"/>
      <c r="Z179" s="269"/>
      <c r="AA179" s="269"/>
      <c r="AB179" s="269"/>
      <c r="AC179" s="269"/>
      <c r="AD179" s="265"/>
      <c r="AE179" s="255"/>
      <c r="AF179" s="255"/>
      <c r="AG179" s="255"/>
      <c r="AH179" s="255"/>
      <c r="AI179" s="255"/>
      <c r="AJ179" s="255"/>
    </row>
    <row r="180" spans="1:36" ht="75" x14ac:dyDescent="0.3">
      <c r="A180" s="249">
        <v>1</v>
      </c>
      <c r="B180" s="240" t="s">
        <v>134</v>
      </c>
      <c r="C180" s="240" t="s">
        <v>246</v>
      </c>
      <c r="D180" s="240" t="s">
        <v>247</v>
      </c>
      <c r="E180" s="252" t="s">
        <v>248</v>
      </c>
      <c r="F180" s="240" t="s">
        <v>123</v>
      </c>
      <c r="G180" s="335">
        <v>5556</v>
      </c>
      <c r="H180" s="231" t="str">
        <f>IF(G180&lt;=0,"",IF(G180&lt;=2,"Muy Baja",IF(G180&lt;=24,"Baja",IF(G180&lt;=500,"Media",IF(G180&lt;=5000,"Alta","Muy Alta")))))</f>
        <v>Muy Alta</v>
      </c>
      <c r="I180" s="234">
        <f>IF(H180="","",IF(H180="Muy Baja",0.2,IF(H180="Baja",0.4,IF(H180="Media",0.6,IF(H180="Alta",0.8,IF(H180="Muy Alta",1,))))))</f>
        <v>1</v>
      </c>
      <c r="J180" s="338" t="s">
        <v>144</v>
      </c>
      <c r="K180" s="207" t="str">
        <f>IF(NOT(ISERROR(MATCH(J180,'[2]Tabla Impacto'!$B$221:$B$223,0))),'[2]Tabla Impacto'!$F$223&amp;"Por favor no seleccionar los criterios de impacto(Afectación Económica o presupuestal y Pérdida Reputacional)",J180)</f>
        <v xml:space="preserve">     Afectación menor a 10 SMLMV .</v>
      </c>
      <c r="L180" s="231" t="str">
        <f>IF(OR(K180='[2]Tabla Impacto'!$C$11,K180='[2]Tabla Impacto'!$D$11),"Leve",IF(OR(K180='[2]Tabla Impacto'!$C$12,K180='[2]Tabla Impacto'!$D$12),"Menor",IF(OR(K180='[2]Tabla Impacto'!$C$13,K180='[2]Tabla Impacto'!$D$13),"Moderado",IF(OR(K180='[2]Tabla Impacto'!$C$14,K180='[2]Tabla Impacto'!$D$14),"Mayor",IF(OR(K180='[2]Tabla Impacto'!$C$15,K180='[2]Tabla Impacto'!$D$15),"Catastrófico","")))))</f>
        <v>Leve</v>
      </c>
      <c r="M180" s="234">
        <f>IF(L180="","",IF(L180="Leve",0.2,IF(L180="Menor",0.4,IF(L180="Moderado",0.6,IF(L180="Mayor",0.8,IF(L180="Catastrófico",1,))))))</f>
        <v>0.2</v>
      </c>
      <c r="N180" s="237" t="str">
        <f>IF(OR(AND(H180="Muy Baja",L180="Leve"),AND(H180="Muy Baja",L180="Menor"),AND(H180="Baja",L180="Leve")),"Bajo",IF(OR(AND(H180="Muy baja",L180="Moderado"),AND(H180="Baja",L180="Menor"),AND(H180="Baja",L180="Moderado"),AND(H180="Media",L180="Leve"),AND(H180="Media",L180="Menor"),AND(H180="Media",L180="Moderado"),AND(H180="Alta",L180="Leve"),AND(H180="Alta",L180="Menor")),"Moderado",IF(OR(AND(H180="Muy Baja",L180="Mayor"),AND(H180="Baja",L180="Mayor"),AND(H180="Media",L180="Mayor"),AND(H180="Alta",L180="Moderado"),AND(H180="Alta",L180="Mayor"),AND(H180="Muy Alta",L180="Leve"),AND(H180="Muy Alta",L180="Menor"),AND(H180="Muy Alta",L180="Moderado"),AND(H180="Muy Alta",L180="Mayor")),"Alto",IF(OR(AND(H180="Muy Baja",L180="Catastrófico"),AND(H180="Baja",L180="Catastrófico"),AND(H180="Media",L180="Catastrófico"),AND(H180="Alta",L180="Catastrófico"),AND(H180="Muy Alta",L180="Catastrófico")),"Extremo",""))))</f>
        <v>Alto</v>
      </c>
      <c r="O180" s="139">
        <v>1</v>
      </c>
      <c r="P180" s="146" t="s">
        <v>249</v>
      </c>
      <c r="Q180" s="141" t="str">
        <f>IF(OR(R180="Preventivo",R180="Detectivo"),"Probabilidad",IF(R180="Correctivo","Impacto",""))</f>
        <v>Probabilidad</v>
      </c>
      <c r="R180" s="142" t="s">
        <v>14</v>
      </c>
      <c r="S180" s="142" t="s">
        <v>9</v>
      </c>
      <c r="T180" s="143" t="str">
        <f>IF(AND(R180="Preventivo",S180="Automático"),"50%",IF(AND(R180="Preventivo",S180="Manual"),"40%",IF(AND(R180="Detectivo",S180="Automático"),"40%",IF(AND(R180="Detectivo",S180="Manual"),"30%",IF(AND(R180="Correctivo",S180="Automático"),"35%",IF(AND(R180="Correctivo",S180="Manual"),"25%",""))))))</f>
        <v>40%</v>
      </c>
      <c r="U180" s="142" t="s">
        <v>19</v>
      </c>
      <c r="V180" s="142" t="s">
        <v>22</v>
      </c>
      <c r="W180" s="142" t="s">
        <v>119</v>
      </c>
      <c r="X180" s="140">
        <f>IFERROR(IF(Q180="Probabilidad",(I180-(+I180*T180)),IF(Q180="Impacto",I180,"")),"")</f>
        <v>0.6</v>
      </c>
      <c r="Y180" s="144" t="str">
        <f>IFERROR(IF(X180="","",IF(X180&lt;=0.2,"Muy Baja",IF(X180&lt;=0.4,"Baja",IF(X180&lt;=0.6,"Media",IF(X180&lt;=0.8,"Alta","Muy Alta"))))),"")</f>
        <v>Media</v>
      </c>
      <c r="Z180" s="143">
        <f>+X180</f>
        <v>0.6</v>
      </c>
      <c r="AA180" s="144" t="str">
        <f>IFERROR(IF(AB180="","",IF(AB180&lt;=0.2,"Leve",IF(AB180&lt;=0.4,"Menor",IF(AB180&lt;=0.6,"Moderado",IF(AB180&lt;=0.8,"Mayor","Catastrófico"))))),"")</f>
        <v>Leve</v>
      </c>
      <c r="AB180" s="143">
        <f>IFERROR(IF(Q180="Impacto",(M180-(+M180*T180)),IF(Q180="Probabilidad",M180,"")),"")</f>
        <v>0.2</v>
      </c>
      <c r="AC180" s="145" t="str">
        <f>IFERROR(IF(OR(AND(Y180="Muy Baja",AA180="Leve"),AND(Y180="Muy Baja",AA180="Menor"),AND(Y180="Baja",AA180="Leve")),"Bajo",IF(OR(AND(Y180="Muy baja",AA180="Moderado"),AND(Y180="Baja",AA180="Menor"),AND(Y180="Baja",AA180="Moderado"),AND(Y180="Media",AA180="Leve"),AND(Y180="Media",AA180="Menor"),AND(Y180="Media",AA180="Moderado"),AND(Y180="Alta",AA180="Leve"),AND(Y180="Alta",AA180="Menor")),"Moderado",IF(OR(AND(Y180="Muy Baja",AA180="Mayor"),AND(Y180="Baja",AA180="Mayor"),AND(Y180="Media",AA180="Mayor"),AND(Y180="Alta",AA180="Moderado"),AND(Y180="Alta",AA180="Mayor"),AND(Y180="Muy Alta",AA180="Leve"),AND(Y180="Muy Alta",AA180="Menor"),AND(Y180="Muy Alta",AA180="Moderado"),AND(Y180="Muy Alta",AA180="Mayor")),"Alto",IF(OR(AND(Y180="Muy Baja",AA180="Catastrófico"),AND(Y180="Baja",AA180="Catastrófico"),AND(Y180="Media",AA180="Catastrófico"),AND(Y180="Alta",AA180="Catastrófico"),AND(Y180="Muy Alta",AA180="Catastrófico")),"Extremo","")))),"")</f>
        <v>Moderado</v>
      </c>
      <c r="AD180" s="142" t="s">
        <v>136</v>
      </c>
      <c r="AE180" s="240"/>
      <c r="AF180" s="240"/>
      <c r="AG180" s="356"/>
      <c r="AH180" s="356"/>
      <c r="AI180" s="216"/>
      <c r="AJ180" s="222"/>
    </row>
    <row r="181" spans="1:36" ht="75" x14ac:dyDescent="0.3">
      <c r="A181" s="250"/>
      <c r="B181" s="241"/>
      <c r="C181" s="241"/>
      <c r="D181" s="241"/>
      <c r="E181" s="253"/>
      <c r="F181" s="241"/>
      <c r="G181" s="336"/>
      <c r="H181" s="232"/>
      <c r="I181" s="235"/>
      <c r="J181" s="339"/>
      <c r="K181" s="208">
        <f ca="1">IF(NOT(ISERROR(MATCH(J181,_xlfn.ANCHORARRAY(E192),0))),I194&amp;"Por favor no seleccionar los criterios de impacto",J181)</f>
        <v>0</v>
      </c>
      <c r="L181" s="232"/>
      <c r="M181" s="235"/>
      <c r="N181" s="238"/>
      <c r="O181" s="139">
        <v>2</v>
      </c>
      <c r="P181" s="147" t="s">
        <v>250</v>
      </c>
      <c r="Q181" s="141" t="str">
        <f>IF(OR(R181="Preventivo",R181="Detectivo"),"Probabilidad",IF(R181="Correctivo","Impacto",""))</f>
        <v>Probabilidad</v>
      </c>
      <c r="R181" s="142" t="s">
        <v>14</v>
      </c>
      <c r="S181" s="142" t="s">
        <v>9</v>
      </c>
      <c r="T181" s="143" t="str">
        <f>IF(AND(R181="Preventivo",S181="Automático"),"50%",IF(AND(R181="Preventivo",S181="Manual"),"40%",IF(AND(R181="Detectivo",S181="Automático"),"40%",IF(AND(R181="Detectivo",S181="Manual"),"30%",IF(AND(R181="Correctivo",S181="Automático"),"35%",IF(AND(R181="Correctivo",S181="Manual"),"25%",""))))))</f>
        <v>40%</v>
      </c>
      <c r="U181" s="142" t="s">
        <v>19</v>
      </c>
      <c r="V181" s="142" t="s">
        <v>22</v>
      </c>
      <c r="W181" s="142" t="s">
        <v>119</v>
      </c>
      <c r="X181" s="140">
        <f>IFERROR(IF(Q181="Probabilidad",(I180-(+I180*T181)),IF(Q181="Impacto",I181,"")),"")</f>
        <v>0.6</v>
      </c>
      <c r="Y181" s="144" t="str">
        <f>IFERROR(IF(X181="","",IF(X181&lt;=0.2,"Muy Baja",IF(X181&lt;=0.4,"Baja",IF(X181&lt;=0.6,"Media",IF(X181&lt;=0.8,"Alta","Muy Alta"))))),"")</f>
        <v>Media</v>
      </c>
      <c r="Z181" s="143">
        <f>+X181</f>
        <v>0.6</v>
      </c>
      <c r="AA181" s="144" t="str">
        <f>IFERROR(IF(AB181="","",IF(AB181&lt;=0.2,"Leve",IF(AB181&lt;=0.4,"Menor",IF(AB181&lt;=0.6,"Moderado",IF(AB181&lt;=0.8,"Mayor","Catastrófico"))))),"")</f>
        <v>Leve</v>
      </c>
      <c r="AB181" s="143">
        <f>IFERROR(IF(Q181="Impacto",(M180-(+M180*T181)),IF(Q181="Probabilidad",M180,"")),"")</f>
        <v>0.2</v>
      </c>
      <c r="AC181" s="145" t="str">
        <f>IFERROR(IF(OR(AND(Y181="Muy Baja",AA181="Leve"),AND(Y181="Muy Baja",AA181="Menor"),AND(Y181="Baja",AA181="Leve")),"Bajo",IF(OR(AND(Y181="Muy baja",AA181="Moderado"),AND(Y181="Baja",AA181="Menor"),AND(Y181="Baja",AA181="Moderado"),AND(Y181="Media",AA181="Leve"),AND(Y181="Media",AA181="Menor"),AND(Y181="Media",AA181="Moderado"),AND(Y181="Alta",AA181="Leve"),AND(Y181="Alta",AA181="Menor")),"Moderado",IF(OR(AND(Y181="Muy Baja",AA181="Mayor"),AND(Y181="Baja",AA181="Mayor"),AND(Y181="Media",AA181="Mayor"),AND(Y181="Alta",AA181="Moderado"),AND(Y181="Alta",AA181="Mayor"),AND(Y181="Muy Alta",AA181="Leve"),AND(Y181="Muy Alta",AA181="Menor"),AND(Y181="Muy Alta",AA181="Moderado"),AND(Y181="Muy Alta",AA181="Mayor")),"Alto",IF(OR(AND(Y181="Muy Baja",AA181="Catastrófico"),AND(Y181="Baja",AA181="Catastrófico"),AND(Y181="Media",AA181="Catastrófico"),AND(Y181="Alta",AA181="Catastrófico"),AND(Y181="Muy Alta",AA181="Catastrófico")),"Extremo","")))),"")</f>
        <v>Moderado</v>
      </c>
      <c r="AD181" s="142" t="s">
        <v>136</v>
      </c>
      <c r="AE181" s="242"/>
      <c r="AF181" s="242"/>
      <c r="AG181" s="357"/>
      <c r="AH181" s="357"/>
      <c r="AI181" s="218"/>
      <c r="AJ181" s="224"/>
    </row>
    <row r="182" spans="1:36" hidden="1" x14ac:dyDescent="0.3">
      <c r="A182" s="250"/>
      <c r="B182" s="241"/>
      <c r="C182" s="241"/>
      <c r="D182" s="241"/>
      <c r="E182" s="253"/>
      <c r="F182" s="241"/>
      <c r="G182" s="336"/>
      <c r="H182" s="232"/>
      <c r="I182" s="235"/>
      <c r="J182" s="339"/>
      <c r="K182" s="208">
        <f ca="1">IF(NOT(ISERROR(MATCH(J182,_xlfn.ANCHORARRAY(E193),0))),I195&amp;"Por favor no seleccionar los criterios de impacto",J182)</f>
        <v>0</v>
      </c>
      <c r="L182" s="232"/>
      <c r="M182" s="235"/>
      <c r="N182" s="238"/>
      <c r="O182" s="139">
        <v>3</v>
      </c>
      <c r="P182" s="136"/>
      <c r="Q182" s="125" t="str">
        <f>IF(OR(R182="Preventivo",R182="Detectivo"),"Probabilidad",IF(R182="Correctivo","Impacto",""))</f>
        <v/>
      </c>
      <c r="R182" s="126"/>
      <c r="S182" s="126"/>
      <c r="T182" s="127" t="str">
        <f t="shared" ref="T182:T185" si="156">IF(AND(R182="Preventivo",S182="Automático"),"50%",IF(AND(R182="Preventivo",S182="Manual"),"40%",IF(AND(R182="Detectivo",S182="Automático"),"40%",IF(AND(R182="Detectivo",S182="Manual"),"30%",IF(AND(R182="Correctivo",S182="Automático"),"35%",IF(AND(R182="Correctivo",S182="Manual"),"25%",""))))))</f>
        <v/>
      </c>
      <c r="U182" s="126"/>
      <c r="V182" s="126"/>
      <c r="W182" s="126"/>
      <c r="X182" s="128" t="str">
        <f>IFERROR(IF(AND(Q181="Probabilidad",Q182="Probabilidad"),(Z181-(+Z181*T182)),IF(AND(Q181="Impacto",Q182="Probabilidad"),(Z180-(+Z180*T182)),IF(Q182="Impacto",Z181,""))),"")</f>
        <v/>
      </c>
      <c r="Y182" s="129" t="str">
        <f t="shared" ref="Y182:Y185" si="157">IFERROR(IF(X182="","",IF(X182&lt;=0.2,"Muy Baja",IF(X182&lt;=0.4,"Baja",IF(X182&lt;=0.6,"Media",IF(X182&lt;=0.8,"Alta","Muy Alta"))))),"")</f>
        <v/>
      </c>
      <c r="Z182" s="130" t="str">
        <f t="shared" ref="Z182:Z185" si="158">+X182</f>
        <v/>
      </c>
      <c r="AA182" s="129" t="str">
        <f t="shared" ref="AA182:AA185" si="159">IFERROR(IF(AB182="","",IF(AB182&lt;=0.2,"Leve",IF(AB182&lt;=0.4,"Menor",IF(AB182&lt;=0.6,"Moderado",IF(AB182&lt;=0.8,"Mayor","Catastrófico"))))),"")</f>
        <v/>
      </c>
      <c r="AB182" s="138" t="str">
        <f>IFERROR(IF(AND(Q181="Impacto",Q182="Impacto"),(AB181-(+AB181*T182)),IF(AND(Q181="Probabilidad",Q182="Impacto"),(AB180-(+AB180*T182)),IF(Q182="Probabilidad",AB181,""))),"")</f>
        <v/>
      </c>
      <c r="AC182" s="131" t="str">
        <f t="shared" ref="AC182:AC185" si="160">IFERROR(IF(OR(AND(Y182="Muy Baja",AA182="Leve"),AND(Y182="Muy Baja",AA182="Menor"),AND(Y182="Baja",AA182="Leve")),"Bajo",IF(OR(AND(Y182="Muy baja",AA182="Moderado"),AND(Y182="Baja",AA182="Menor"),AND(Y182="Baja",AA182="Moderado"),AND(Y182="Media",AA182="Leve"),AND(Y182="Media",AA182="Menor"),AND(Y182="Media",AA182="Moderado"),AND(Y182="Alta",AA182="Leve"),AND(Y182="Alta",AA182="Menor")),"Moderado",IF(OR(AND(Y182="Muy Baja",AA182="Mayor"),AND(Y182="Baja",AA182="Mayor"),AND(Y182="Media",AA182="Mayor"),AND(Y182="Alta",AA182="Moderado"),AND(Y182="Alta",AA182="Mayor"),AND(Y182="Muy Alta",AA182="Leve"),AND(Y182="Muy Alta",AA182="Menor"),AND(Y182="Muy Alta",AA182="Moderado"),AND(Y182="Muy Alta",AA182="Mayor")),"Alto",IF(OR(AND(Y182="Muy Baja",AA182="Catastrófico"),AND(Y182="Baja",AA182="Catastrófico"),AND(Y182="Media",AA182="Catastrófico"),AND(Y182="Alta",AA182="Catastrófico"),AND(Y182="Muy Alta",AA182="Catastrófico")),"Extremo","")))),"")</f>
        <v/>
      </c>
      <c r="AD182" s="132"/>
      <c r="AE182" s="133"/>
      <c r="AF182" s="134"/>
      <c r="AG182" s="135"/>
      <c r="AH182" s="135"/>
      <c r="AI182" s="133"/>
      <c r="AJ182" s="134"/>
    </row>
    <row r="183" spans="1:36" hidden="1" x14ac:dyDescent="0.3">
      <c r="A183" s="250"/>
      <c r="B183" s="241"/>
      <c r="C183" s="241"/>
      <c r="D183" s="241"/>
      <c r="E183" s="253"/>
      <c r="F183" s="241"/>
      <c r="G183" s="336"/>
      <c r="H183" s="232"/>
      <c r="I183" s="235"/>
      <c r="J183" s="339"/>
      <c r="K183" s="208">
        <f ca="1">IF(NOT(ISERROR(MATCH(J183,_xlfn.ANCHORARRAY(E194),0))),I196&amp;"Por favor no seleccionar los criterios de impacto",J183)</f>
        <v>0</v>
      </c>
      <c r="L183" s="232"/>
      <c r="M183" s="235"/>
      <c r="N183" s="238"/>
      <c r="O183" s="139">
        <v>4</v>
      </c>
      <c r="P183" s="124"/>
      <c r="Q183" s="125" t="str">
        <f t="shared" ref="Q183:Q185" si="161">IF(OR(R183="Preventivo",R183="Detectivo"),"Probabilidad",IF(R183="Correctivo","Impacto",""))</f>
        <v/>
      </c>
      <c r="R183" s="126"/>
      <c r="S183" s="126"/>
      <c r="T183" s="127" t="str">
        <f t="shared" si="156"/>
        <v/>
      </c>
      <c r="U183" s="126"/>
      <c r="V183" s="126"/>
      <c r="W183" s="126"/>
      <c r="X183" s="128" t="str">
        <f t="shared" ref="X183:X185" si="162">IFERROR(IF(AND(Q182="Probabilidad",Q183="Probabilidad"),(Z182-(+Z182*T183)),IF(AND(Q182="Impacto",Q183="Probabilidad"),(Z181-(+Z181*T183)),IF(Q183="Impacto",Z182,""))),"")</f>
        <v/>
      </c>
      <c r="Y183" s="129" t="str">
        <f t="shared" si="157"/>
        <v/>
      </c>
      <c r="Z183" s="130" t="str">
        <f t="shared" si="158"/>
        <v/>
      </c>
      <c r="AA183" s="129" t="str">
        <f t="shared" si="159"/>
        <v/>
      </c>
      <c r="AB183" s="138" t="str">
        <f t="shared" ref="AB183:AB185" si="163">IFERROR(IF(AND(Q182="Impacto",Q183="Impacto"),(AB182-(+AB182*T183)),IF(AND(Q182="Probabilidad",Q183="Impacto"),(AB181-(+AB181*T183)),IF(Q183="Probabilidad",AB182,""))),"")</f>
        <v/>
      </c>
      <c r="AC183" s="131" t="str">
        <f>IFERROR(IF(OR(AND(Y183="Muy Baja",AA183="Leve"),AND(Y183="Muy Baja",AA183="Menor"),AND(Y183="Baja",AA183="Leve")),"Bajo",IF(OR(AND(Y183="Muy baja",AA183="Moderado"),AND(Y183="Baja",AA183="Menor"),AND(Y183="Baja",AA183="Moderado"),AND(Y183="Media",AA183="Leve"),AND(Y183="Media",AA183="Menor"),AND(Y183="Media",AA183="Moderado"),AND(Y183="Alta",AA183="Leve"),AND(Y183="Alta",AA183="Menor")),"Moderado",IF(OR(AND(Y183="Muy Baja",AA183="Mayor"),AND(Y183="Baja",AA183="Mayor"),AND(Y183="Media",AA183="Mayor"),AND(Y183="Alta",AA183="Moderado"),AND(Y183="Alta",AA183="Mayor"),AND(Y183="Muy Alta",AA183="Leve"),AND(Y183="Muy Alta",AA183="Menor"),AND(Y183="Muy Alta",AA183="Moderado"),AND(Y183="Muy Alta",AA183="Mayor")),"Alto",IF(OR(AND(Y183="Muy Baja",AA183="Catastrófico"),AND(Y183="Baja",AA183="Catastrófico"),AND(Y183="Media",AA183="Catastrófico"),AND(Y183="Alta",AA183="Catastrófico"),AND(Y183="Muy Alta",AA183="Catastrófico")),"Extremo","")))),"")</f>
        <v/>
      </c>
      <c r="AD183" s="132"/>
      <c r="AE183" s="133"/>
      <c r="AF183" s="134"/>
      <c r="AG183" s="135"/>
      <c r="AH183" s="135"/>
      <c r="AI183" s="133"/>
      <c r="AJ183" s="134"/>
    </row>
    <row r="184" spans="1:36" hidden="1" x14ac:dyDescent="0.3">
      <c r="A184" s="250"/>
      <c r="B184" s="241"/>
      <c r="C184" s="241"/>
      <c r="D184" s="241"/>
      <c r="E184" s="253"/>
      <c r="F184" s="241"/>
      <c r="G184" s="336"/>
      <c r="H184" s="232"/>
      <c r="I184" s="235"/>
      <c r="J184" s="339"/>
      <c r="K184" s="208">
        <f ca="1">IF(NOT(ISERROR(MATCH(J184,_xlfn.ANCHORARRAY(E195),0))),I197&amp;"Por favor no seleccionar los criterios de impacto",J184)</f>
        <v>0</v>
      </c>
      <c r="L184" s="232"/>
      <c r="M184" s="235"/>
      <c r="N184" s="238"/>
      <c r="O184" s="139">
        <v>5</v>
      </c>
      <c r="P184" s="124"/>
      <c r="Q184" s="125" t="str">
        <f t="shared" si="161"/>
        <v/>
      </c>
      <c r="R184" s="126"/>
      <c r="S184" s="126"/>
      <c r="T184" s="127" t="str">
        <f t="shared" si="156"/>
        <v/>
      </c>
      <c r="U184" s="126"/>
      <c r="V184" s="126"/>
      <c r="W184" s="126"/>
      <c r="X184" s="128" t="str">
        <f t="shared" si="162"/>
        <v/>
      </c>
      <c r="Y184" s="129" t="str">
        <f t="shared" si="157"/>
        <v/>
      </c>
      <c r="Z184" s="130" t="str">
        <f t="shared" si="158"/>
        <v/>
      </c>
      <c r="AA184" s="129" t="str">
        <f t="shared" si="159"/>
        <v/>
      </c>
      <c r="AB184" s="138" t="str">
        <f t="shared" si="163"/>
        <v/>
      </c>
      <c r="AC184" s="131" t="str">
        <f t="shared" si="160"/>
        <v/>
      </c>
      <c r="AD184" s="132"/>
      <c r="AE184" s="133"/>
      <c r="AF184" s="134"/>
      <c r="AG184" s="135"/>
      <c r="AH184" s="135"/>
      <c r="AI184" s="133"/>
      <c r="AJ184" s="134"/>
    </row>
    <row r="185" spans="1:36" hidden="1" x14ac:dyDescent="0.3">
      <c r="A185" s="251"/>
      <c r="B185" s="242"/>
      <c r="C185" s="242"/>
      <c r="D185" s="242"/>
      <c r="E185" s="254"/>
      <c r="F185" s="242"/>
      <c r="G185" s="337"/>
      <c r="H185" s="233"/>
      <c r="I185" s="236"/>
      <c r="J185" s="340"/>
      <c r="K185" s="209">
        <f ca="1">IF(NOT(ISERROR(MATCH(J185,_xlfn.ANCHORARRAY(E196),0))),I198&amp;"Por favor no seleccionar los criterios de impacto",J185)</f>
        <v>0</v>
      </c>
      <c r="L185" s="233"/>
      <c r="M185" s="236"/>
      <c r="N185" s="239"/>
      <c r="O185" s="139">
        <v>6</v>
      </c>
      <c r="P185" s="124"/>
      <c r="Q185" s="125" t="str">
        <f t="shared" si="161"/>
        <v/>
      </c>
      <c r="R185" s="126"/>
      <c r="S185" s="126"/>
      <c r="T185" s="127" t="str">
        <f t="shared" si="156"/>
        <v/>
      </c>
      <c r="U185" s="126"/>
      <c r="V185" s="126"/>
      <c r="W185" s="126"/>
      <c r="X185" s="128" t="str">
        <f t="shared" si="162"/>
        <v/>
      </c>
      <c r="Y185" s="129" t="str">
        <f t="shared" si="157"/>
        <v/>
      </c>
      <c r="Z185" s="130" t="str">
        <f t="shared" si="158"/>
        <v/>
      </c>
      <c r="AA185" s="129" t="str">
        <f t="shared" si="159"/>
        <v/>
      </c>
      <c r="AB185" s="138" t="str">
        <f t="shared" si="163"/>
        <v/>
      </c>
      <c r="AC185" s="131" t="str">
        <f t="shared" si="160"/>
        <v/>
      </c>
      <c r="AD185" s="132"/>
      <c r="AE185" s="133"/>
      <c r="AF185" s="134"/>
      <c r="AG185" s="135"/>
      <c r="AH185" s="135"/>
      <c r="AI185" s="133"/>
      <c r="AJ185" s="134"/>
    </row>
    <row r="186" spans="1:36" x14ac:dyDescent="0.3">
      <c r="A186" s="195" t="s">
        <v>216</v>
      </c>
      <c r="B186" s="196"/>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c r="AA186" s="196"/>
      <c r="AB186" s="196"/>
      <c r="AC186" s="196"/>
      <c r="AD186" s="196"/>
      <c r="AE186" s="196"/>
      <c r="AF186" s="196"/>
      <c r="AG186" s="196"/>
      <c r="AH186" s="196"/>
      <c r="AI186" s="196"/>
      <c r="AJ186" s="197"/>
    </row>
    <row r="187" spans="1:36" x14ac:dyDescent="0.3">
      <c r="A187" s="198"/>
      <c r="B187" s="199"/>
      <c r="C187" s="199"/>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199"/>
      <c r="AF187" s="199"/>
      <c r="AG187" s="199"/>
      <c r="AH187" s="199"/>
      <c r="AI187" s="199"/>
      <c r="AJ187" s="200"/>
    </row>
    <row r="188" spans="1:36" x14ac:dyDescent="0.3">
      <c r="A188" s="27"/>
      <c r="B188" s="28"/>
      <c r="C188" s="27"/>
      <c r="D188" s="27"/>
      <c r="E188" s="8"/>
      <c r="F188" s="26"/>
      <c r="G188" s="8"/>
      <c r="H188" s="8"/>
      <c r="I188" s="8"/>
      <c r="J188" s="8"/>
      <c r="K188" s="8"/>
      <c r="L188" s="8"/>
      <c r="M188" s="8"/>
      <c r="N188" s="8"/>
      <c r="O188" s="25"/>
      <c r="P188" s="8"/>
      <c r="Q188" s="8"/>
      <c r="R188" s="8"/>
      <c r="S188" s="8"/>
      <c r="T188" s="8"/>
      <c r="U188" s="8"/>
      <c r="V188" s="8"/>
      <c r="W188" s="8"/>
      <c r="X188" s="8"/>
      <c r="Y188" s="8"/>
      <c r="Z188" s="8"/>
      <c r="AA188" s="8"/>
      <c r="AB188" s="8"/>
      <c r="AC188" s="8"/>
      <c r="AD188" s="8"/>
      <c r="AE188" s="8"/>
      <c r="AF188" s="8"/>
      <c r="AG188" s="8"/>
      <c r="AH188" s="8"/>
      <c r="AI188" s="8"/>
      <c r="AJ188" s="8"/>
    </row>
    <row r="189" spans="1:36" ht="23.25" x14ac:dyDescent="0.3">
      <c r="A189" s="256" t="s">
        <v>43</v>
      </c>
      <c r="B189" s="257"/>
      <c r="C189" s="191" t="s">
        <v>251</v>
      </c>
      <c r="D189" s="192"/>
      <c r="E189" s="192"/>
      <c r="F189" s="192"/>
      <c r="G189" s="192"/>
      <c r="H189" s="192"/>
      <c r="I189" s="192"/>
      <c r="J189" s="192"/>
      <c r="K189" s="192"/>
      <c r="L189" s="192"/>
      <c r="M189" s="192"/>
      <c r="N189" s="193"/>
      <c r="O189" s="194"/>
      <c r="P189" s="194"/>
      <c r="Q189" s="194"/>
      <c r="R189" s="8"/>
      <c r="S189" s="8"/>
      <c r="T189" s="8"/>
      <c r="U189" s="8"/>
      <c r="V189" s="8"/>
      <c r="W189" s="8"/>
      <c r="X189" s="8"/>
      <c r="Y189" s="8"/>
      <c r="Z189" s="8"/>
      <c r="AA189" s="8"/>
      <c r="AB189" s="8"/>
      <c r="AC189" s="8"/>
      <c r="AD189" s="8"/>
      <c r="AE189" s="8"/>
      <c r="AF189" s="8"/>
      <c r="AG189" s="8"/>
      <c r="AH189" s="8"/>
      <c r="AI189" s="8"/>
      <c r="AJ189" s="8"/>
    </row>
    <row r="190" spans="1:36" ht="23.25" x14ac:dyDescent="0.3">
      <c r="A190" s="256" t="s">
        <v>130</v>
      </c>
      <c r="B190" s="257"/>
      <c r="C190" s="266" t="s">
        <v>252</v>
      </c>
      <c r="D190" s="192"/>
      <c r="E190" s="192"/>
      <c r="F190" s="192"/>
      <c r="G190" s="192"/>
      <c r="H190" s="192"/>
      <c r="I190" s="192"/>
      <c r="J190" s="192"/>
      <c r="K190" s="192"/>
      <c r="L190" s="192"/>
      <c r="M190" s="192"/>
      <c r="N190" s="193"/>
      <c r="O190" s="25"/>
      <c r="P190" s="8"/>
      <c r="Q190" s="8"/>
      <c r="R190" s="8"/>
      <c r="S190" s="8"/>
      <c r="T190" s="8"/>
      <c r="U190" s="8"/>
      <c r="V190" s="8"/>
      <c r="W190" s="8"/>
      <c r="X190" s="8"/>
      <c r="Y190" s="8"/>
      <c r="Z190" s="8"/>
      <c r="AB190" s="8"/>
      <c r="AC190" s="8"/>
      <c r="AD190" s="8"/>
      <c r="AE190" s="8"/>
      <c r="AF190" s="8"/>
      <c r="AG190" s="8"/>
      <c r="AH190" s="8"/>
      <c r="AI190" s="8"/>
      <c r="AJ190" s="8"/>
    </row>
    <row r="191" spans="1:36" ht="23.25" x14ac:dyDescent="0.3">
      <c r="A191" s="256" t="s">
        <v>44</v>
      </c>
      <c r="B191" s="257"/>
      <c r="C191" s="266" t="s">
        <v>253</v>
      </c>
      <c r="D191" s="267"/>
      <c r="E191" s="267"/>
      <c r="F191" s="267"/>
      <c r="G191" s="267"/>
      <c r="H191" s="267"/>
      <c r="I191" s="267"/>
      <c r="J191" s="267"/>
      <c r="K191" s="267"/>
      <c r="L191" s="267"/>
      <c r="M191" s="267"/>
      <c r="N191" s="268"/>
      <c r="O191" s="25"/>
      <c r="P191" s="8"/>
      <c r="Q191" s="8"/>
      <c r="R191" s="8"/>
      <c r="S191" s="8"/>
      <c r="T191" s="8"/>
      <c r="U191" s="8"/>
      <c r="V191" s="8"/>
      <c r="W191" s="8"/>
      <c r="X191" s="8"/>
      <c r="Y191" s="8"/>
      <c r="Z191" s="8"/>
      <c r="AA191" s="8"/>
      <c r="AB191" s="8"/>
      <c r="AC191" s="8"/>
      <c r="AD191" s="8"/>
      <c r="AE191" s="8"/>
      <c r="AF191" s="8"/>
      <c r="AG191" s="8"/>
      <c r="AH191" s="8"/>
      <c r="AI191" s="8"/>
      <c r="AJ191" s="8"/>
    </row>
    <row r="192" spans="1:36" x14ac:dyDescent="0.3">
      <c r="A192" s="201" t="s">
        <v>139</v>
      </c>
      <c r="B192" s="202"/>
      <c r="C192" s="202"/>
      <c r="D192" s="202"/>
      <c r="E192" s="202"/>
      <c r="F192" s="202"/>
      <c r="G192" s="203"/>
      <c r="H192" s="201" t="s">
        <v>140</v>
      </c>
      <c r="I192" s="202"/>
      <c r="J192" s="202"/>
      <c r="K192" s="202"/>
      <c r="L192" s="202"/>
      <c r="M192" s="202"/>
      <c r="N192" s="203"/>
      <c r="O192" s="201" t="s">
        <v>141</v>
      </c>
      <c r="P192" s="202"/>
      <c r="Q192" s="202"/>
      <c r="R192" s="202"/>
      <c r="S192" s="202"/>
      <c r="T192" s="202"/>
      <c r="U192" s="202"/>
      <c r="V192" s="202"/>
      <c r="W192" s="203"/>
      <c r="X192" s="201" t="s">
        <v>142</v>
      </c>
      <c r="Y192" s="202"/>
      <c r="Z192" s="202"/>
      <c r="AA192" s="202"/>
      <c r="AB192" s="202"/>
      <c r="AC192" s="202"/>
      <c r="AD192" s="203"/>
      <c r="AE192" s="201" t="s">
        <v>34</v>
      </c>
      <c r="AF192" s="202"/>
      <c r="AG192" s="202"/>
      <c r="AH192" s="202"/>
      <c r="AI192" s="202"/>
      <c r="AJ192" s="203"/>
    </row>
    <row r="193" spans="1:36" x14ac:dyDescent="0.3">
      <c r="A193" s="258" t="s">
        <v>0</v>
      </c>
      <c r="B193" s="263" t="s">
        <v>2</v>
      </c>
      <c r="C193" s="261" t="s">
        <v>3</v>
      </c>
      <c r="D193" s="261" t="s">
        <v>42</v>
      </c>
      <c r="E193" s="262" t="s">
        <v>1</v>
      </c>
      <c r="F193" s="260" t="s">
        <v>50</v>
      </c>
      <c r="G193" s="261" t="s">
        <v>135</v>
      </c>
      <c r="H193" s="270" t="s">
        <v>33</v>
      </c>
      <c r="I193" s="271" t="s">
        <v>5</v>
      </c>
      <c r="J193" s="260" t="s">
        <v>87</v>
      </c>
      <c r="K193" s="260" t="s">
        <v>92</v>
      </c>
      <c r="L193" s="273" t="s">
        <v>45</v>
      </c>
      <c r="M193" s="271" t="s">
        <v>5</v>
      </c>
      <c r="N193" s="261" t="s">
        <v>48</v>
      </c>
      <c r="O193" s="264" t="s">
        <v>11</v>
      </c>
      <c r="P193" s="255" t="s">
        <v>161</v>
      </c>
      <c r="Q193" s="260" t="s">
        <v>12</v>
      </c>
      <c r="R193" s="255" t="s">
        <v>8</v>
      </c>
      <c r="S193" s="255"/>
      <c r="T193" s="255"/>
      <c r="U193" s="255"/>
      <c r="V193" s="255"/>
      <c r="W193" s="255"/>
      <c r="X193" s="269" t="s">
        <v>138</v>
      </c>
      <c r="Y193" s="269" t="s">
        <v>46</v>
      </c>
      <c r="Z193" s="269" t="s">
        <v>5</v>
      </c>
      <c r="AA193" s="269" t="s">
        <v>47</v>
      </c>
      <c r="AB193" s="269" t="s">
        <v>5</v>
      </c>
      <c r="AC193" s="269" t="s">
        <v>49</v>
      </c>
      <c r="AD193" s="264" t="s">
        <v>29</v>
      </c>
      <c r="AE193" s="255" t="s">
        <v>34</v>
      </c>
      <c r="AF193" s="255" t="s">
        <v>35</v>
      </c>
      <c r="AG193" s="255" t="s">
        <v>36</v>
      </c>
      <c r="AH193" s="255" t="s">
        <v>38</v>
      </c>
      <c r="AI193" s="255" t="s">
        <v>37</v>
      </c>
      <c r="AJ193" s="255" t="s">
        <v>39</v>
      </c>
    </row>
    <row r="194" spans="1:36" ht="78.75" x14ac:dyDescent="0.3">
      <c r="A194" s="259"/>
      <c r="B194" s="263"/>
      <c r="C194" s="255"/>
      <c r="D194" s="255"/>
      <c r="E194" s="358"/>
      <c r="F194" s="261"/>
      <c r="G194" s="255"/>
      <c r="H194" s="261"/>
      <c r="I194" s="272"/>
      <c r="J194" s="261"/>
      <c r="K194" s="261"/>
      <c r="L194" s="272"/>
      <c r="M194" s="272"/>
      <c r="N194" s="255"/>
      <c r="O194" s="265"/>
      <c r="P194" s="260"/>
      <c r="Q194" s="261"/>
      <c r="R194" s="7" t="s">
        <v>13</v>
      </c>
      <c r="S194" s="7" t="s">
        <v>17</v>
      </c>
      <c r="T194" s="7" t="s">
        <v>28</v>
      </c>
      <c r="U194" s="7" t="s">
        <v>18</v>
      </c>
      <c r="V194" s="7" t="s">
        <v>21</v>
      </c>
      <c r="W194" s="7" t="s">
        <v>24</v>
      </c>
      <c r="X194" s="269"/>
      <c r="Y194" s="269"/>
      <c r="Z194" s="269"/>
      <c r="AA194" s="269"/>
      <c r="AB194" s="269"/>
      <c r="AC194" s="269"/>
      <c r="AD194" s="265"/>
      <c r="AE194" s="255"/>
      <c r="AF194" s="255"/>
      <c r="AG194" s="255"/>
      <c r="AH194" s="255"/>
      <c r="AI194" s="255"/>
      <c r="AJ194" s="255"/>
    </row>
    <row r="195" spans="1:36" ht="16.5" customHeight="1" x14ac:dyDescent="0.3">
      <c r="A195" s="249">
        <v>1</v>
      </c>
      <c r="B195" s="240" t="s">
        <v>134</v>
      </c>
      <c r="C195" s="240" t="s">
        <v>276</v>
      </c>
      <c r="D195" s="359" t="s">
        <v>277</v>
      </c>
      <c r="E195" s="372" t="s">
        <v>254</v>
      </c>
      <c r="F195" s="362" t="s">
        <v>123</v>
      </c>
      <c r="G195" s="335">
        <v>12</v>
      </c>
      <c r="H195" s="231" t="str">
        <f>IF(G195&lt;=0,"",IF(G195&lt;=2,"Muy Baja",IF(G195&lt;=24,"Baja",IF(G195&lt;=500,"Media",IF(G195&lt;=5000,"Alta","Muy Alta")))))</f>
        <v>Baja</v>
      </c>
      <c r="I195" s="234">
        <f>IF(H195="","",IF(H195="Muy Baja",0.2,IF(H195="Baja",0.4,IF(H195="Media",0.6,IF(H195="Alta",0.8,IF(H195="Muy Alta",1,))))))</f>
        <v>0.4</v>
      </c>
      <c r="J195" s="338" t="s">
        <v>144</v>
      </c>
      <c r="K195" s="234" t="str">
        <f>IF(NOT(ISERROR(MATCH(J195,'[3]Tabla Impacto'!$B$221:$B$223,0))),'[3]Tabla Impacto'!$F$223&amp;"Por favor no seleccionar los criterios de impacto(Afectación Económica o presupuestal y Pérdida Reputacional)",J195)</f>
        <v xml:space="preserve">     Afectación menor a 10 SMLMV .</v>
      </c>
      <c r="L195" s="231" t="str">
        <f>IF(OR(K195='[3]Tabla Impacto'!$C$11,K195='[3]Tabla Impacto'!$D$11),"Leve",IF(OR(K195='[3]Tabla Impacto'!$C$12,K195='[3]Tabla Impacto'!$D$12),"Menor",IF(OR(K195='[3]Tabla Impacto'!$C$13,K195='[3]Tabla Impacto'!$D$13),"Moderado",IF(OR(K195='[3]Tabla Impacto'!$C$14,K195='[3]Tabla Impacto'!$D$14),"Mayor",IF(OR(K195='[3]Tabla Impacto'!$C$15,K195='[3]Tabla Impacto'!$D$15),"Catastrófico","")))))</f>
        <v>Leve</v>
      </c>
      <c r="M195" s="234">
        <f>IF(L195="","",IF(L195="Leve",0.2,IF(L195="Menor",0.4,IF(L195="Moderado",0.6,IF(L195="Mayor",0.8,IF(L195="Catastrófico",1,))))))</f>
        <v>0.2</v>
      </c>
      <c r="N195" s="237" t="str">
        <f>IF(OR(AND(H195="Muy Baja",L195="Leve"),AND(H195="Muy Baja",L195="Menor"),AND(H195="Baja",L195="Leve")),"Bajo",IF(OR(AND(H195="Muy baja",L195="Moderado"),AND(H195="Baja",L195="Menor"),AND(H195="Baja",L195="Moderado"),AND(H195="Media",L195="Leve"),AND(H195="Media",L195="Menor"),AND(H195="Media",L195="Moderado"),AND(H195="Alta",L195="Leve"),AND(H195="Alta",L195="Menor")),"Moderado",IF(OR(AND(H195="Muy Baja",L195="Mayor"),AND(H195="Baja",L195="Mayor"),AND(H195="Media",L195="Mayor"),AND(H195="Alta",L195="Moderado"),AND(H195="Alta",L195="Mayor"),AND(H195="Muy Alta",L195="Leve"),AND(H195="Muy Alta",L195="Menor"),AND(H195="Muy Alta",L195="Moderado"),AND(H195="Muy Alta",L195="Mayor")),"Alto",IF(OR(AND(H195="Muy Baja",L195="Catastrófico"),AND(H195="Baja",L195="Catastrófico"),AND(H195="Media",L195="Catastrófico"),AND(H195="Alta",L195="Catastrófico"),AND(H195="Muy Alta",L195="Catastrófico")),"Extremo",""))))</f>
        <v>Bajo</v>
      </c>
      <c r="O195" s="365">
        <v>1</v>
      </c>
      <c r="P195" s="367" t="s">
        <v>255</v>
      </c>
      <c r="Q195" s="368" t="str">
        <f>IF(OR(R195="Preventivo",R195="Detectivo"),"Probabilidad",IF(R195="Correctivo","Impacto",""))</f>
        <v>Probabilidad</v>
      </c>
      <c r="R195" s="311" t="s">
        <v>14</v>
      </c>
      <c r="S195" s="311" t="s">
        <v>9</v>
      </c>
      <c r="T195" s="315" t="str">
        <f>IF(AND(R195="Preventivo",S195="Automático"),"50%",IF(AND(R195="Preventivo",S195="Manual"),"40%",IF(AND(R195="Detectivo",S195="Automático"),"40%",IF(AND(R195="Detectivo",S195="Manual"),"30%",IF(AND(R195="Correctivo",S195="Automático"),"35%",IF(AND(R195="Correctivo",S195="Manual"),"25%",""))))))</f>
        <v>40%</v>
      </c>
      <c r="U195" s="311" t="s">
        <v>19</v>
      </c>
      <c r="V195" s="311" t="s">
        <v>23</v>
      </c>
      <c r="W195" s="311" t="s">
        <v>119</v>
      </c>
      <c r="X195" s="140">
        <f>IFERROR(IF(Q195="Probabilidad",(I195-(+I195*T195)),IF(Q195="Impacto",I195,"")),"")</f>
        <v>0.24</v>
      </c>
      <c r="Y195" s="313" t="str">
        <f>IFERROR(IF(X195="","",IF(X195&lt;=0.2,"Muy Baja",IF(X195&lt;=0.4,"Baja",IF(X195&lt;=0.6,"Media",IF(X195&lt;=0.8,"Alta","Muy Alta"))))),"")</f>
        <v>Baja</v>
      </c>
      <c r="Z195" s="315">
        <f>+X195</f>
        <v>0.24</v>
      </c>
      <c r="AA195" s="313" t="str">
        <f>IFERROR(IF(AB195="","",IF(AB195&lt;=0.2,"Leve",IF(AB195&lt;=0.4,"Menor",IF(AB195&lt;=0.6,"Moderado",IF(AB195&lt;=0.8,"Mayor","Catastrófico"))))),"")</f>
        <v>Leve</v>
      </c>
      <c r="AB195" s="315">
        <f>IFERROR(IF(Q195="Impacto",(M195-(+M195*T195)),IF(Q195="Probabilidad",M195,"")),"")</f>
        <v>0.2</v>
      </c>
      <c r="AC195" s="319" t="str">
        <f>IFERROR(IF(OR(AND(Y195="Muy Baja",AA195="Leve"),AND(Y195="Muy Baja",AA195="Menor"),AND(Y195="Baja",AA195="Leve")),"Bajo",IF(OR(AND(Y195="Muy baja",AA195="Moderado"),AND(Y195="Baja",AA195="Menor"),AND(Y195="Baja",AA195="Moderado"),AND(Y195="Media",AA195="Leve"),AND(Y195="Media",AA195="Menor"),AND(Y195="Media",AA195="Moderado"),AND(Y195="Alta",AA195="Leve"),AND(Y195="Alta",AA195="Menor")),"Moderado",IF(OR(AND(Y195="Muy Baja",AA195="Mayor"),AND(Y195="Baja",AA195="Mayor"),AND(Y195="Media",AA195="Mayor"),AND(Y195="Alta",AA195="Moderado"),AND(Y195="Alta",AA195="Mayor"),AND(Y195="Muy Alta",AA195="Leve"),AND(Y195="Muy Alta",AA195="Menor"),AND(Y195="Muy Alta",AA195="Moderado"),AND(Y195="Muy Alta",AA195="Mayor")),"Alto",IF(OR(AND(Y195="Muy Baja",AA195="Catastrófico"),AND(Y195="Baja",AA195="Catastrófico"),AND(Y195="Media",AA195="Catastrófico"),AND(Y195="Alta",AA195="Catastrófico"),AND(Y195="Muy Alta",AA195="Catastrófico")),"Extremo","")))),"")</f>
        <v>Bajo</v>
      </c>
      <c r="AD195" s="311" t="s">
        <v>136</v>
      </c>
      <c r="AE195" s="370"/>
      <c r="AF195" s="335" t="s">
        <v>256</v>
      </c>
      <c r="AG195" s="321"/>
      <c r="AH195" s="321"/>
      <c r="AI195" s="216"/>
      <c r="AJ195" s="222"/>
    </row>
    <row r="196" spans="1:36" ht="108.75" customHeight="1" x14ac:dyDescent="0.3">
      <c r="A196" s="250"/>
      <c r="B196" s="241"/>
      <c r="C196" s="241"/>
      <c r="D196" s="360"/>
      <c r="E196" s="372"/>
      <c r="F196" s="363"/>
      <c r="G196" s="336"/>
      <c r="H196" s="232"/>
      <c r="I196" s="235"/>
      <c r="J196" s="339"/>
      <c r="K196" s="235">
        <f ca="1">IF(NOT(ISERROR(MATCH(J196,_xlfn.ANCHORARRAY(E205),0))),I207&amp;"Por favor no seleccionar los criterios de impacto",J196)</f>
        <v>0</v>
      </c>
      <c r="L196" s="232"/>
      <c r="M196" s="235"/>
      <c r="N196" s="238"/>
      <c r="O196" s="366"/>
      <c r="P196" s="367"/>
      <c r="Q196" s="369"/>
      <c r="R196" s="312"/>
      <c r="S196" s="312"/>
      <c r="T196" s="316"/>
      <c r="U196" s="312"/>
      <c r="V196" s="312"/>
      <c r="W196" s="312"/>
      <c r="X196" s="128" t="str">
        <f>IFERROR(IF(AND(Q195="Probabilidad",Q196="Probabilidad"),(Z195-(+Z195*T196)),IF(Q196="Probabilidad",(I195-(+I195*T196)),IF(Q196="Impacto",Z195,""))),"")</f>
        <v/>
      </c>
      <c r="Y196" s="314"/>
      <c r="Z196" s="316"/>
      <c r="AA196" s="314"/>
      <c r="AB196" s="316"/>
      <c r="AC196" s="320"/>
      <c r="AD196" s="312"/>
      <c r="AE196" s="371"/>
      <c r="AF196" s="337"/>
      <c r="AG196" s="322"/>
      <c r="AH196" s="322"/>
      <c r="AI196" s="218"/>
      <c r="AJ196" s="224"/>
    </row>
    <row r="197" spans="1:36" hidden="1" x14ac:dyDescent="0.3">
      <c r="A197" s="250"/>
      <c r="B197" s="241"/>
      <c r="C197" s="241"/>
      <c r="D197" s="360"/>
      <c r="E197" s="372"/>
      <c r="F197" s="363"/>
      <c r="G197" s="336"/>
      <c r="H197" s="232"/>
      <c r="I197" s="235"/>
      <c r="J197" s="339"/>
      <c r="K197" s="235">
        <f ca="1">IF(NOT(ISERROR(MATCH(J197,_xlfn.ANCHORARRAY(E206),0))),I208&amp;"Por favor no seleccionar los criterios de impacto",J197)</f>
        <v>0</v>
      </c>
      <c r="L197" s="232"/>
      <c r="M197" s="235"/>
      <c r="N197" s="238"/>
      <c r="O197" s="139">
        <v>3</v>
      </c>
      <c r="P197" s="148"/>
      <c r="Q197" s="125" t="str">
        <f>IF(OR(R197="Preventivo",R197="Detectivo"),"Probabilidad",IF(R197="Correctivo","Impacto",""))</f>
        <v/>
      </c>
      <c r="R197" s="126"/>
      <c r="S197" s="126"/>
      <c r="T197" s="127" t="str">
        <f t="shared" ref="T197:T200" si="164">IF(AND(R197="Preventivo",S197="Automático"),"50%",IF(AND(R197="Preventivo",S197="Manual"),"40%",IF(AND(R197="Detectivo",S197="Automático"),"40%",IF(AND(R197="Detectivo",S197="Manual"),"30%",IF(AND(R197="Correctivo",S197="Automático"),"35%",IF(AND(R197="Correctivo",S197="Manual"),"25%",""))))))</f>
        <v/>
      </c>
      <c r="U197" s="126"/>
      <c r="V197" s="126"/>
      <c r="W197" s="126"/>
      <c r="X197" s="128" t="str">
        <f>IFERROR(IF(AND(Q196="Probabilidad",Q197="Probabilidad"),(Z196-(+Z196*T197)),IF(AND(Q196="Impacto",Q197="Probabilidad"),(Z195-(+Z195*T197)),IF(Q197="Impacto",Z196,""))),"")</f>
        <v/>
      </c>
      <c r="Y197" s="129" t="str">
        <f t="shared" ref="Y197:Y200" si="165">IFERROR(IF(X197="","",IF(X197&lt;=0.2,"Muy Baja",IF(X197&lt;=0.4,"Baja",IF(X197&lt;=0.6,"Media",IF(X197&lt;=0.8,"Alta","Muy Alta"))))),"")</f>
        <v/>
      </c>
      <c r="Z197" s="130" t="str">
        <f t="shared" ref="Z197:Z200" si="166">+X197</f>
        <v/>
      </c>
      <c r="AA197" s="129" t="str">
        <f t="shared" ref="AA197:AA200" si="167">IFERROR(IF(AB197="","",IF(AB197&lt;=0.2,"Leve",IF(AB197&lt;=0.4,"Menor",IF(AB197&lt;=0.6,"Moderado",IF(AB197&lt;=0.8,"Mayor","Catastrófico"))))),"")</f>
        <v/>
      </c>
      <c r="AB197" s="138" t="str">
        <f>IFERROR(IF(AND(Q196="Impacto",Q197="Impacto"),(AB196-(+AB196*T197)),IF(AND(Q196="Probabilidad",Q197="Impacto"),(AB195-(+AB195*T197)),IF(Q197="Probabilidad",AB196,""))),"")</f>
        <v/>
      </c>
      <c r="AC197" s="131" t="str">
        <f t="shared" ref="AC197:AC200" si="168">IFERROR(IF(OR(AND(Y197="Muy Baja",AA197="Leve"),AND(Y197="Muy Baja",AA197="Menor"),AND(Y197="Baja",AA197="Leve")),"Bajo",IF(OR(AND(Y197="Muy baja",AA197="Moderado"),AND(Y197="Baja",AA197="Menor"),AND(Y197="Baja",AA197="Moderado"),AND(Y197="Media",AA197="Leve"),AND(Y197="Media",AA197="Menor"),AND(Y197="Media",AA197="Moderado"),AND(Y197="Alta",AA197="Leve"),AND(Y197="Alta",AA197="Menor")),"Moderado",IF(OR(AND(Y197="Muy Baja",AA197="Mayor"),AND(Y197="Baja",AA197="Mayor"),AND(Y197="Media",AA197="Mayor"),AND(Y197="Alta",AA197="Moderado"),AND(Y197="Alta",AA197="Mayor"),AND(Y197="Muy Alta",AA197="Leve"),AND(Y197="Muy Alta",AA197="Menor"),AND(Y197="Muy Alta",AA197="Moderado"),AND(Y197="Muy Alta",AA197="Mayor")),"Alto",IF(OR(AND(Y197="Muy Baja",AA197="Catastrófico"),AND(Y197="Baja",AA197="Catastrófico"),AND(Y197="Media",AA197="Catastrófico"),AND(Y197="Alta",AA197="Catastrófico"),AND(Y197="Muy Alta",AA197="Catastrófico")),"Extremo","")))),"")</f>
        <v/>
      </c>
      <c r="AD197" s="132"/>
      <c r="AE197" s="133"/>
      <c r="AF197" s="134"/>
      <c r="AG197" s="135"/>
      <c r="AH197" s="135"/>
      <c r="AI197" s="133"/>
      <c r="AJ197" s="134"/>
    </row>
    <row r="198" spans="1:36" ht="39" hidden="1" customHeight="1" x14ac:dyDescent="0.3">
      <c r="A198" s="250"/>
      <c r="B198" s="241"/>
      <c r="C198" s="241"/>
      <c r="D198" s="360"/>
      <c r="E198" s="372"/>
      <c r="F198" s="363"/>
      <c r="G198" s="336"/>
      <c r="H198" s="232"/>
      <c r="I198" s="235"/>
      <c r="J198" s="339"/>
      <c r="K198" s="235">
        <f ca="1">IF(NOT(ISERROR(MATCH(J198,_xlfn.ANCHORARRAY(E207),0))),I209&amp;"Por favor no seleccionar los criterios de impacto",J198)</f>
        <v>0</v>
      </c>
      <c r="L198" s="232"/>
      <c r="M198" s="235"/>
      <c r="N198" s="238"/>
      <c r="O198" s="139">
        <v>4</v>
      </c>
      <c r="P198" s="124"/>
      <c r="Q198" s="125" t="str">
        <f t="shared" ref="Q198:Q200" si="169">IF(OR(R198="Preventivo",R198="Detectivo"),"Probabilidad",IF(R198="Correctivo","Impacto",""))</f>
        <v/>
      </c>
      <c r="R198" s="126"/>
      <c r="S198" s="126"/>
      <c r="T198" s="127" t="str">
        <f t="shared" si="164"/>
        <v/>
      </c>
      <c r="U198" s="126"/>
      <c r="V198" s="126"/>
      <c r="W198" s="126"/>
      <c r="X198" s="128" t="str">
        <f t="shared" ref="X198:X200" si="170">IFERROR(IF(AND(Q197="Probabilidad",Q198="Probabilidad"),(Z197-(+Z197*T198)),IF(AND(Q197="Impacto",Q198="Probabilidad"),(Z196-(+Z196*T198)),IF(Q198="Impacto",Z197,""))),"")</f>
        <v/>
      </c>
      <c r="Y198" s="129" t="str">
        <f t="shared" si="165"/>
        <v/>
      </c>
      <c r="Z198" s="130" t="str">
        <f t="shared" si="166"/>
        <v/>
      </c>
      <c r="AA198" s="129" t="str">
        <f t="shared" si="167"/>
        <v/>
      </c>
      <c r="AB198" s="138" t="str">
        <f t="shared" ref="AB198:AB200" si="171">IFERROR(IF(AND(Q197="Impacto",Q198="Impacto"),(AB197-(+AB197*T198)),IF(AND(Q197="Probabilidad",Q198="Impacto"),(AB196-(+AB196*T198)),IF(Q198="Probabilidad",AB197,""))),"")</f>
        <v/>
      </c>
      <c r="AC198" s="131" t="str">
        <f>IFERROR(IF(OR(AND(Y198="Muy Baja",AA198="Leve"),AND(Y198="Muy Baja",AA198="Menor"),AND(Y198="Baja",AA198="Leve")),"Bajo",IF(OR(AND(Y198="Muy baja",AA198="Moderado"),AND(Y198="Baja",AA198="Menor"),AND(Y198="Baja",AA198="Moderado"),AND(Y198="Media",AA198="Leve"),AND(Y198="Media",AA198="Menor"),AND(Y198="Media",AA198="Moderado"),AND(Y198="Alta",AA198="Leve"),AND(Y198="Alta",AA198="Menor")),"Moderado",IF(OR(AND(Y198="Muy Baja",AA198="Mayor"),AND(Y198="Baja",AA198="Mayor"),AND(Y198="Media",AA198="Mayor"),AND(Y198="Alta",AA198="Moderado"),AND(Y198="Alta",AA198="Mayor"),AND(Y198="Muy Alta",AA198="Leve"),AND(Y198="Muy Alta",AA198="Menor"),AND(Y198="Muy Alta",AA198="Moderado"),AND(Y198="Muy Alta",AA198="Mayor")),"Alto",IF(OR(AND(Y198="Muy Baja",AA198="Catastrófico"),AND(Y198="Baja",AA198="Catastrófico"),AND(Y198="Media",AA198="Catastrófico"),AND(Y198="Alta",AA198="Catastrófico"),AND(Y198="Muy Alta",AA198="Catastrófico")),"Extremo","")))),"")</f>
        <v/>
      </c>
      <c r="AD198" s="132"/>
      <c r="AE198" s="133"/>
      <c r="AF198" s="134"/>
      <c r="AG198" s="135"/>
      <c r="AH198" s="135"/>
      <c r="AI198" s="133"/>
      <c r="AJ198" s="134"/>
    </row>
    <row r="199" spans="1:36" hidden="1" x14ac:dyDescent="0.3">
      <c r="A199" s="250"/>
      <c r="B199" s="241"/>
      <c r="C199" s="241"/>
      <c r="D199" s="360"/>
      <c r="E199" s="372"/>
      <c r="F199" s="363"/>
      <c r="G199" s="336"/>
      <c r="H199" s="232"/>
      <c r="I199" s="235"/>
      <c r="J199" s="339"/>
      <c r="K199" s="235">
        <f ca="1">IF(NOT(ISERROR(MATCH(J199,_xlfn.ANCHORARRAY(E208),0))),I210&amp;"Por favor no seleccionar los criterios de impacto",J199)</f>
        <v>0</v>
      </c>
      <c r="L199" s="232"/>
      <c r="M199" s="235"/>
      <c r="N199" s="238"/>
      <c r="O199" s="139">
        <v>5</v>
      </c>
      <c r="P199" s="124"/>
      <c r="Q199" s="125" t="str">
        <f t="shared" si="169"/>
        <v/>
      </c>
      <c r="R199" s="126"/>
      <c r="S199" s="126"/>
      <c r="T199" s="127" t="str">
        <f t="shared" si="164"/>
        <v/>
      </c>
      <c r="U199" s="126"/>
      <c r="V199" s="126"/>
      <c r="W199" s="126"/>
      <c r="X199" s="128" t="str">
        <f t="shared" si="170"/>
        <v/>
      </c>
      <c r="Y199" s="129" t="str">
        <f t="shared" si="165"/>
        <v/>
      </c>
      <c r="Z199" s="130" t="str">
        <f t="shared" si="166"/>
        <v/>
      </c>
      <c r="AA199" s="129" t="str">
        <f t="shared" si="167"/>
        <v/>
      </c>
      <c r="AB199" s="138" t="str">
        <f t="shared" si="171"/>
        <v/>
      </c>
      <c r="AC199" s="131" t="str">
        <f t="shared" si="168"/>
        <v/>
      </c>
      <c r="AD199" s="132"/>
      <c r="AE199" s="133"/>
      <c r="AF199" s="134"/>
      <c r="AG199" s="135"/>
      <c r="AH199" s="135"/>
      <c r="AI199" s="133"/>
      <c r="AJ199" s="134"/>
    </row>
    <row r="200" spans="1:36" ht="56.25" hidden="1" customHeight="1" x14ac:dyDescent="0.3">
      <c r="A200" s="251"/>
      <c r="B200" s="242"/>
      <c r="C200" s="242"/>
      <c r="D200" s="361"/>
      <c r="E200" s="372"/>
      <c r="F200" s="364"/>
      <c r="G200" s="337"/>
      <c r="H200" s="233"/>
      <c r="I200" s="236"/>
      <c r="J200" s="340"/>
      <c r="K200" s="236">
        <f ca="1">IF(NOT(ISERROR(MATCH(J200,_xlfn.ANCHORARRAY(E209),0))),I211&amp;"Por favor no seleccionar los criterios de impacto",J200)</f>
        <v>0</v>
      </c>
      <c r="L200" s="233"/>
      <c r="M200" s="236"/>
      <c r="N200" s="239"/>
      <c r="O200" s="139">
        <v>6</v>
      </c>
      <c r="P200" s="124"/>
      <c r="Q200" s="125" t="str">
        <f t="shared" si="169"/>
        <v/>
      </c>
      <c r="R200" s="126"/>
      <c r="S200" s="126"/>
      <c r="T200" s="127" t="str">
        <f t="shared" si="164"/>
        <v/>
      </c>
      <c r="U200" s="126"/>
      <c r="V200" s="126"/>
      <c r="W200" s="126"/>
      <c r="X200" s="128" t="str">
        <f t="shared" si="170"/>
        <v/>
      </c>
      <c r="Y200" s="129" t="str">
        <f t="shared" si="165"/>
        <v/>
      </c>
      <c r="Z200" s="130" t="str">
        <f t="shared" si="166"/>
        <v/>
      </c>
      <c r="AA200" s="129" t="str">
        <f t="shared" si="167"/>
        <v/>
      </c>
      <c r="AB200" s="138" t="str">
        <f t="shared" si="171"/>
        <v/>
      </c>
      <c r="AC200" s="131" t="str">
        <f t="shared" si="168"/>
        <v/>
      </c>
      <c r="AD200" s="132"/>
      <c r="AE200" s="133"/>
      <c r="AF200" s="134"/>
      <c r="AG200" s="135"/>
      <c r="AH200" s="135"/>
      <c r="AI200" s="133"/>
      <c r="AJ200" s="134"/>
    </row>
    <row r="201" spans="1:36" x14ac:dyDescent="0.3">
      <c r="A201" s="195" t="s">
        <v>216</v>
      </c>
      <c r="B201" s="196"/>
      <c r="C201" s="196"/>
      <c r="D201" s="196"/>
      <c r="E201" s="196"/>
      <c r="F201" s="196"/>
      <c r="G201" s="196"/>
      <c r="H201" s="196"/>
      <c r="I201" s="196"/>
      <c r="J201" s="196"/>
      <c r="K201" s="196"/>
      <c r="L201" s="196"/>
      <c r="M201" s="196"/>
      <c r="N201" s="196"/>
      <c r="O201" s="196"/>
      <c r="P201" s="196"/>
      <c r="Q201" s="196"/>
      <c r="R201" s="196"/>
      <c r="S201" s="196"/>
      <c r="T201" s="196"/>
      <c r="U201" s="196"/>
      <c r="V201" s="196"/>
      <c r="W201" s="196"/>
      <c r="X201" s="196"/>
      <c r="Y201" s="196"/>
      <c r="Z201" s="196"/>
      <c r="AA201" s="196"/>
      <c r="AB201" s="196"/>
      <c r="AC201" s="196"/>
      <c r="AD201" s="196"/>
      <c r="AE201" s="196"/>
      <c r="AF201" s="196"/>
      <c r="AG201" s="196"/>
      <c r="AH201" s="196"/>
      <c r="AI201" s="196"/>
      <c r="AJ201" s="197"/>
    </row>
    <row r="202" spans="1:36" x14ac:dyDescent="0.3">
      <c r="A202" s="198"/>
      <c r="B202" s="199"/>
      <c r="C202" s="199"/>
      <c r="D202" s="199"/>
      <c r="E202" s="199"/>
      <c r="F202" s="199"/>
      <c r="G202" s="199"/>
      <c r="H202" s="199"/>
      <c r="I202" s="199"/>
      <c r="J202" s="199"/>
      <c r="K202" s="199"/>
      <c r="L202" s="199"/>
      <c r="M202" s="199"/>
      <c r="N202" s="199"/>
      <c r="O202" s="199"/>
      <c r="P202" s="199"/>
      <c r="Q202" s="199"/>
      <c r="R202" s="199"/>
      <c r="S202" s="199"/>
      <c r="T202" s="199"/>
      <c r="U202" s="199"/>
      <c r="V202" s="199"/>
      <c r="W202" s="199"/>
      <c r="X202" s="199"/>
      <c r="Y202" s="199"/>
      <c r="Z202" s="199"/>
      <c r="AA202" s="199"/>
      <c r="AB202" s="199"/>
      <c r="AC202" s="199"/>
      <c r="AD202" s="199"/>
      <c r="AE202" s="199"/>
      <c r="AF202" s="199"/>
      <c r="AG202" s="199"/>
      <c r="AH202" s="199"/>
      <c r="AI202" s="199"/>
      <c r="AJ202" s="200"/>
    </row>
    <row r="203" spans="1:36" x14ac:dyDescent="0.3">
      <c r="A203" s="27"/>
      <c r="B203" s="28"/>
      <c r="C203" s="27"/>
      <c r="D203" s="27"/>
      <c r="E203" s="8"/>
      <c r="F203" s="26"/>
      <c r="G203" s="8"/>
      <c r="H203" s="8"/>
      <c r="I203" s="8"/>
      <c r="J203" s="8"/>
      <c r="K203" s="8"/>
      <c r="L203" s="8"/>
      <c r="M203" s="8"/>
      <c r="N203" s="8"/>
      <c r="O203" s="25"/>
      <c r="P203" s="8"/>
      <c r="Q203" s="8"/>
      <c r="R203" s="8"/>
      <c r="S203" s="8"/>
      <c r="T203" s="8"/>
      <c r="U203" s="8"/>
      <c r="V203" s="8"/>
      <c r="W203" s="8"/>
      <c r="X203" s="8"/>
      <c r="Y203" s="8"/>
      <c r="Z203" s="8"/>
      <c r="AA203" s="8"/>
      <c r="AB203" s="8"/>
      <c r="AC203" s="8"/>
      <c r="AD203" s="8"/>
      <c r="AE203" s="8"/>
      <c r="AF203" s="8"/>
      <c r="AG203" s="8"/>
      <c r="AH203" s="8"/>
      <c r="AI203" s="8"/>
      <c r="AJ203" s="8"/>
    </row>
    <row r="204" spans="1:36" ht="23.25" x14ac:dyDescent="0.3">
      <c r="A204" s="256" t="s">
        <v>43</v>
      </c>
      <c r="B204" s="257"/>
      <c r="C204" s="191" t="s">
        <v>257</v>
      </c>
      <c r="D204" s="192"/>
      <c r="E204" s="192"/>
      <c r="F204" s="192"/>
      <c r="G204" s="192"/>
      <c r="H204" s="192"/>
      <c r="I204" s="192"/>
      <c r="J204" s="192"/>
      <c r="K204" s="192"/>
      <c r="L204" s="192"/>
      <c r="M204" s="192"/>
      <c r="N204" s="193"/>
      <c r="O204" s="194"/>
      <c r="P204" s="194"/>
      <c r="Q204" s="194"/>
      <c r="R204" s="8"/>
      <c r="S204" s="8"/>
      <c r="T204" s="8"/>
      <c r="U204" s="8"/>
      <c r="V204" s="8"/>
      <c r="W204" s="8"/>
      <c r="X204" s="8"/>
      <c r="Y204" s="8"/>
      <c r="Z204" s="8"/>
      <c r="AA204" s="8"/>
      <c r="AB204" s="8"/>
      <c r="AC204" s="8"/>
      <c r="AD204" s="8"/>
      <c r="AE204" s="8"/>
      <c r="AF204" s="8"/>
      <c r="AG204" s="8"/>
      <c r="AH204" s="8"/>
      <c r="AI204" s="8"/>
      <c r="AJ204" s="8"/>
    </row>
    <row r="205" spans="1:36" ht="23.25" x14ac:dyDescent="0.3">
      <c r="A205" s="256" t="s">
        <v>130</v>
      </c>
      <c r="B205" s="257"/>
      <c r="C205" s="266" t="s">
        <v>258</v>
      </c>
      <c r="D205" s="192"/>
      <c r="E205" s="192"/>
      <c r="F205" s="192"/>
      <c r="G205" s="192"/>
      <c r="H205" s="192"/>
      <c r="I205" s="192"/>
      <c r="J205" s="192"/>
      <c r="K205" s="192"/>
      <c r="L205" s="192"/>
      <c r="M205" s="192"/>
      <c r="N205" s="193"/>
      <c r="O205" s="25"/>
      <c r="P205" s="8"/>
      <c r="Q205" s="8"/>
      <c r="R205" s="8"/>
      <c r="S205" s="8"/>
      <c r="T205" s="8"/>
      <c r="U205" s="8"/>
      <c r="V205" s="8"/>
      <c r="W205" s="8"/>
      <c r="X205" s="8"/>
      <c r="Y205" s="8"/>
      <c r="Z205" s="8"/>
      <c r="AA205" s="8"/>
      <c r="AB205" s="8"/>
      <c r="AC205" s="8"/>
      <c r="AD205" s="8"/>
      <c r="AE205" s="8"/>
      <c r="AF205" s="8"/>
      <c r="AG205" s="8"/>
      <c r="AH205" s="8"/>
      <c r="AI205" s="8"/>
      <c r="AJ205" s="8"/>
    </row>
    <row r="206" spans="1:36" ht="23.25" x14ac:dyDescent="0.3">
      <c r="A206" s="256" t="s">
        <v>44</v>
      </c>
      <c r="B206" s="257"/>
      <c r="C206" s="266" t="s">
        <v>259</v>
      </c>
      <c r="D206" s="267"/>
      <c r="E206" s="267"/>
      <c r="F206" s="267"/>
      <c r="G206" s="267"/>
      <c r="H206" s="267"/>
      <c r="I206" s="267"/>
      <c r="J206" s="267"/>
      <c r="K206" s="267"/>
      <c r="L206" s="267"/>
      <c r="M206" s="267"/>
      <c r="N206" s="268"/>
      <c r="O206" s="25"/>
      <c r="P206" s="8"/>
      <c r="Q206" s="8"/>
      <c r="R206" s="8"/>
      <c r="S206" s="8"/>
      <c r="T206" s="8"/>
      <c r="U206" s="8"/>
      <c r="V206" s="8"/>
      <c r="W206" s="8"/>
      <c r="X206" s="8"/>
      <c r="Y206" s="8"/>
      <c r="Z206" s="8"/>
      <c r="AA206" s="8"/>
      <c r="AB206" s="8"/>
      <c r="AC206" s="8"/>
      <c r="AD206" s="8"/>
      <c r="AE206" s="8"/>
      <c r="AF206" s="8"/>
      <c r="AG206" s="8"/>
      <c r="AH206" s="8"/>
      <c r="AI206" s="8"/>
      <c r="AJ206" s="8"/>
    </row>
    <row r="207" spans="1:36" x14ac:dyDescent="0.3">
      <c r="A207" s="201" t="s">
        <v>139</v>
      </c>
      <c r="B207" s="202"/>
      <c r="C207" s="202"/>
      <c r="D207" s="202"/>
      <c r="E207" s="202"/>
      <c r="F207" s="202"/>
      <c r="G207" s="203"/>
      <c r="H207" s="201" t="s">
        <v>140</v>
      </c>
      <c r="I207" s="202"/>
      <c r="J207" s="202"/>
      <c r="K207" s="202"/>
      <c r="L207" s="202"/>
      <c r="M207" s="202"/>
      <c r="N207" s="203"/>
      <c r="O207" s="201" t="s">
        <v>141</v>
      </c>
      <c r="P207" s="202"/>
      <c r="Q207" s="202"/>
      <c r="R207" s="202"/>
      <c r="S207" s="202"/>
      <c r="T207" s="202"/>
      <c r="U207" s="202"/>
      <c r="V207" s="202"/>
      <c r="W207" s="203"/>
      <c r="X207" s="201" t="s">
        <v>142</v>
      </c>
      <c r="Y207" s="202"/>
      <c r="Z207" s="202"/>
      <c r="AA207" s="202"/>
      <c r="AB207" s="202"/>
      <c r="AC207" s="202"/>
      <c r="AD207" s="203"/>
      <c r="AE207" s="201" t="s">
        <v>34</v>
      </c>
      <c r="AF207" s="202"/>
      <c r="AG207" s="202"/>
      <c r="AH207" s="202"/>
      <c r="AI207" s="202"/>
      <c r="AJ207" s="203"/>
    </row>
    <row r="208" spans="1:36" x14ac:dyDescent="0.3">
      <c r="A208" s="258" t="s">
        <v>0</v>
      </c>
      <c r="B208" s="263" t="s">
        <v>2</v>
      </c>
      <c r="C208" s="261" t="s">
        <v>3</v>
      </c>
      <c r="D208" s="261" t="s">
        <v>42</v>
      </c>
      <c r="E208" s="262" t="s">
        <v>1</v>
      </c>
      <c r="F208" s="260" t="s">
        <v>50</v>
      </c>
      <c r="G208" s="261" t="s">
        <v>135</v>
      </c>
      <c r="H208" s="270" t="s">
        <v>33</v>
      </c>
      <c r="I208" s="271" t="s">
        <v>5</v>
      </c>
      <c r="J208" s="260" t="s">
        <v>87</v>
      </c>
      <c r="K208" s="260" t="s">
        <v>92</v>
      </c>
      <c r="L208" s="273" t="s">
        <v>45</v>
      </c>
      <c r="M208" s="271" t="s">
        <v>5</v>
      </c>
      <c r="N208" s="261" t="s">
        <v>48</v>
      </c>
      <c r="O208" s="264" t="s">
        <v>11</v>
      </c>
      <c r="P208" s="255" t="s">
        <v>161</v>
      </c>
      <c r="Q208" s="260" t="s">
        <v>12</v>
      </c>
      <c r="R208" s="255" t="s">
        <v>8</v>
      </c>
      <c r="S208" s="255"/>
      <c r="T208" s="255"/>
      <c r="U208" s="255"/>
      <c r="V208" s="255"/>
      <c r="W208" s="255"/>
      <c r="X208" s="269" t="s">
        <v>138</v>
      </c>
      <c r="Y208" s="269" t="s">
        <v>46</v>
      </c>
      <c r="Z208" s="269" t="s">
        <v>5</v>
      </c>
      <c r="AA208" s="269" t="s">
        <v>47</v>
      </c>
      <c r="AB208" s="269" t="s">
        <v>5</v>
      </c>
      <c r="AC208" s="269" t="s">
        <v>49</v>
      </c>
      <c r="AD208" s="264" t="s">
        <v>29</v>
      </c>
      <c r="AE208" s="255" t="s">
        <v>34</v>
      </c>
      <c r="AF208" s="255" t="s">
        <v>35</v>
      </c>
      <c r="AG208" s="255" t="s">
        <v>36</v>
      </c>
      <c r="AH208" s="255" t="s">
        <v>38</v>
      </c>
      <c r="AI208" s="255" t="s">
        <v>37</v>
      </c>
      <c r="AJ208" s="255" t="s">
        <v>39</v>
      </c>
    </row>
    <row r="209" spans="1:36" ht="78.75" x14ac:dyDescent="0.3">
      <c r="A209" s="259"/>
      <c r="B209" s="263"/>
      <c r="C209" s="255"/>
      <c r="D209" s="255"/>
      <c r="E209" s="263"/>
      <c r="F209" s="261"/>
      <c r="G209" s="255"/>
      <c r="H209" s="261"/>
      <c r="I209" s="272"/>
      <c r="J209" s="261"/>
      <c r="K209" s="261"/>
      <c r="L209" s="272"/>
      <c r="M209" s="272"/>
      <c r="N209" s="255"/>
      <c r="O209" s="265"/>
      <c r="P209" s="255"/>
      <c r="Q209" s="261"/>
      <c r="R209" s="7" t="s">
        <v>13</v>
      </c>
      <c r="S209" s="7" t="s">
        <v>17</v>
      </c>
      <c r="T209" s="7" t="s">
        <v>28</v>
      </c>
      <c r="U209" s="7" t="s">
        <v>18</v>
      </c>
      <c r="V209" s="7" t="s">
        <v>21</v>
      </c>
      <c r="W209" s="7" t="s">
        <v>24</v>
      </c>
      <c r="X209" s="269"/>
      <c r="Y209" s="269"/>
      <c r="Z209" s="269"/>
      <c r="AA209" s="269"/>
      <c r="AB209" s="269"/>
      <c r="AC209" s="269"/>
      <c r="AD209" s="265"/>
      <c r="AE209" s="255"/>
      <c r="AF209" s="255"/>
      <c r="AG209" s="255"/>
      <c r="AH209" s="255"/>
      <c r="AI209" s="255"/>
      <c r="AJ209" s="255"/>
    </row>
    <row r="210" spans="1:36" ht="16.5" customHeight="1" x14ac:dyDescent="0.3">
      <c r="A210" s="249">
        <v>1</v>
      </c>
      <c r="B210" s="240" t="s">
        <v>133</v>
      </c>
      <c r="C210" s="252" t="s">
        <v>279</v>
      </c>
      <c r="D210" s="252" t="s">
        <v>283</v>
      </c>
      <c r="E210" s="331" t="s">
        <v>278</v>
      </c>
      <c r="F210" s="240" t="s">
        <v>123</v>
      </c>
      <c r="G210" s="335">
        <v>12</v>
      </c>
      <c r="H210" s="231" t="str">
        <f>IF(G210&lt;=0,"",IF(G210&lt;=2,"Muy Baja",IF(G210&lt;=24,"Baja",IF(G210&lt;=500,"Media",IF(G210&lt;=5000,"Alta","Muy Alta")))))</f>
        <v>Baja</v>
      </c>
      <c r="I210" s="234">
        <f>IF(H210="","",IF(H210="Muy Baja",0.2,IF(H210="Baja",0.4,IF(H210="Media",0.6,IF(H210="Alta",0.8,IF(H210="Muy Alta",1,))))))</f>
        <v>0.4</v>
      </c>
      <c r="J210" s="338" t="s">
        <v>144</v>
      </c>
      <c r="K210" s="207" t="str">
        <f>IF(NOT(ISERROR(MATCH(J210,#REF!,0))),#REF!&amp;"Por favor no seleccionar los criterios de impacto(Afectación Económica o presupuestal y Pérdida Reputacional)",J210)</f>
        <v xml:space="preserve">     Afectación menor a 10 SMLMV .</v>
      </c>
      <c r="L210" s="231" t="str">
        <f>IF(OR(K210='[3]Tabla Impacto'!$C$11,K210='[3]Tabla Impacto'!$D$11),"Leve",IF(OR(K210='[3]Tabla Impacto'!$C$12,K210='[3]Tabla Impacto'!$D$12),"Menor",IF(OR(K210='[3]Tabla Impacto'!$C$13,K210='[3]Tabla Impacto'!$D$13),"Moderado",IF(OR(K210='[3]Tabla Impacto'!$C$14,K210='[3]Tabla Impacto'!$D$14),"Mayor",IF(OR(K210='[3]Tabla Impacto'!$C$15,K210='[3]Tabla Impacto'!$D$15),"Catastrófico","")))))</f>
        <v>Leve</v>
      </c>
      <c r="M210" s="234">
        <f>IF(L210="","",IF(L210="Leve",0.2,IF(L210="Menor",0.4,IF(L210="Moderado",0.6,IF(L210="Mayor",0.8,IF(L210="Catastrófico",1,))))))</f>
        <v>0.2</v>
      </c>
      <c r="N210" s="237" t="str">
        <f>IF(OR(AND(H210="Muy Baja",L210="Leve"),AND(H210="Muy Baja",L210="Menor"),AND(H210="Baja",L210="Leve")),"Bajo",IF(OR(AND(H210="Muy baja",L210="Moderado"),AND(H210="Baja",L210="Menor"),AND(H210="Baja",L210="Moderado"),AND(H210="Media",L210="Leve"),AND(H210="Media",L210="Menor"),AND(H210="Media",L210="Moderado"),AND(H210="Alta",L210="Leve"),AND(H210="Alta",L210="Menor")),"Moderado",IF(OR(AND(H210="Muy Baja",L210="Mayor"),AND(H210="Baja",L210="Mayor"),AND(H210="Media",L210="Mayor"),AND(H210="Alta",L210="Moderado"),AND(H210="Alta",L210="Mayor"),AND(H210="Muy Alta",L210="Leve"),AND(H210="Muy Alta",L210="Menor"),AND(H210="Muy Alta",L210="Moderado"),AND(H210="Muy Alta",L210="Mayor")),"Alto",IF(OR(AND(H210="Muy Baja",L210="Catastrófico"),AND(H210="Baja",L210="Catastrófico"),AND(H210="Media",L210="Catastrófico"),AND(H210="Alta",L210="Catastrófico"),AND(H210="Muy Alta",L210="Catastrófico")),"Extremo",""))))</f>
        <v>Bajo</v>
      </c>
      <c r="O210" s="249">
        <v>1</v>
      </c>
      <c r="P210" s="252" t="s">
        <v>260</v>
      </c>
      <c r="Q210" s="333" t="str">
        <f>IF(OR(R210="Preventivo",R210="Detectivo"),"Probabilidad",IF(R210="Correctivo","Impacto",""))</f>
        <v>Probabilidad</v>
      </c>
      <c r="R210" s="311" t="s">
        <v>14</v>
      </c>
      <c r="S210" s="311" t="s">
        <v>9</v>
      </c>
      <c r="T210" s="315" t="str">
        <f>IF(AND(R210="Preventivo",S210="Automático"),"50%",IF(AND(R210="Preventivo",S210="Manual"),"40%",IF(AND(R210="Detectivo",S210="Automático"),"40%",IF(AND(R210="Detectivo",S210="Manual"),"30%",IF(AND(R210="Correctivo",S210="Automático"),"35%",IF(AND(R210="Correctivo",S210="Manual"),"25%",""))))))</f>
        <v>40%</v>
      </c>
      <c r="U210" s="311" t="s">
        <v>19</v>
      </c>
      <c r="V210" s="311" t="s">
        <v>22</v>
      </c>
      <c r="W210" s="311" t="s">
        <v>119</v>
      </c>
      <c r="X210" s="140">
        <f>IFERROR(IF(Q210="Probabilidad",(I210-(+I210*T210)),IF(Q210="Impacto",I210,"")),"")</f>
        <v>0.24</v>
      </c>
      <c r="Y210" s="313" t="str">
        <f>IFERROR(IF(X210="","",IF(X210&lt;=0.2,"Muy Baja",IF(X210&lt;=0.4,"Baja",IF(X210&lt;=0.6,"Media",IF(X210&lt;=0.8,"Alta","Muy Alta"))))),"")</f>
        <v>Baja</v>
      </c>
      <c r="Z210" s="315">
        <f>+X210</f>
        <v>0.24</v>
      </c>
      <c r="AA210" s="313" t="str">
        <f>IFERROR(IF(AB210="","",IF(AB210&lt;=0.2,"Leve",IF(AB210&lt;=0.4,"Menor",IF(AB210&lt;=0.6,"Moderado",IF(AB210&lt;=0.8,"Mayor","Catastrófico"))))),"")</f>
        <v>Leve</v>
      </c>
      <c r="AB210" s="315">
        <f>IFERROR(IF(Q210="Impacto",(M210-(+M210*T210)),IF(Q210="Probabilidad",M210,"")),"")</f>
        <v>0.2</v>
      </c>
      <c r="AC210" s="319" t="str">
        <f>IFERROR(IF(OR(AND(Y210="Muy Baja",AA210="Leve"),AND(Y210="Muy Baja",AA210="Menor"),AND(Y210="Baja",AA210="Leve")),"Bajo",IF(OR(AND(Y210="Muy baja",AA210="Moderado"),AND(Y210="Baja",AA210="Menor"),AND(Y210="Baja",AA210="Moderado"),AND(Y210="Media",AA210="Leve"),AND(Y210="Media",AA210="Menor"),AND(Y210="Media",AA210="Moderado"),AND(Y210="Alta",AA210="Leve"),AND(Y210="Alta",AA210="Menor")),"Moderado",IF(OR(AND(Y210="Muy Baja",AA210="Mayor"),AND(Y210="Baja",AA210="Mayor"),AND(Y210="Media",AA210="Mayor"),AND(Y210="Alta",AA210="Moderado"),AND(Y210="Alta",AA210="Mayor"),AND(Y210="Muy Alta",AA210="Leve"),AND(Y210="Muy Alta",AA210="Menor"),AND(Y210="Muy Alta",AA210="Moderado"),AND(Y210="Muy Alta",AA210="Mayor")),"Alto",IF(OR(AND(Y210="Muy Baja",AA210="Catastrófico"),AND(Y210="Baja",AA210="Catastrófico"),AND(Y210="Media",AA210="Catastrófico"),AND(Y210="Alta",AA210="Catastrófico"),AND(Y210="Muy Alta",AA210="Catastrófico")),"Extremo","")))),"")</f>
        <v>Bajo</v>
      </c>
      <c r="AD210" s="376" t="s">
        <v>136</v>
      </c>
      <c r="AE210" s="240"/>
      <c r="AF210" s="335" t="s">
        <v>261</v>
      </c>
      <c r="AG210" s="343"/>
      <c r="AH210" s="343"/>
      <c r="AI210" s="240"/>
      <c r="AJ210" s="335"/>
    </row>
    <row r="211" spans="1:36" x14ac:dyDescent="0.3">
      <c r="A211" s="250"/>
      <c r="B211" s="241"/>
      <c r="C211" s="373"/>
      <c r="D211" s="253"/>
      <c r="E211" s="332"/>
      <c r="F211" s="241"/>
      <c r="G211" s="336"/>
      <c r="H211" s="232"/>
      <c r="I211" s="235"/>
      <c r="J211" s="339"/>
      <c r="K211" s="208">
        <f ca="1">IF(NOT(ISERROR(MATCH(J211,_xlfn.ANCHORARRAY(E222),0))),I224&amp;"Por favor no seleccionar los criterios de impacto",J211)</f>
        <v>0</v>
      </c>
      <c r="L211" s="232"/>
      <c r="M211" s="235"/>
      <c r="N211" s="238"/>
      <c r="O211" s="250"/>
      <c r="P211" s="253"/>
      <c r="Q211" s="353"/>
      <c r="R211" s="347"/>
      <c r="S211" s="347"/>
      <c r="T211" s="345"/>
      <c r="U211" s="347"/>
      <c r="V211" s="347"/>
      <c r="W211" s="347"/>
      <c r="X211" s="128" t="str">
        <f>IFERROR(IF(AND(Q210="Probabilidad",Q211="Probabilidad"),(Z210-(+Z210*T211)),IF(Q211="Probabilidad",(I210-(+I210*T211)),IF(Q211="Impacto",Z210,""))),"")</f>
        <v/>
      </c>
      <c r="Y211" s="349"/>
      <c r="Z211" s="345"/>
      <c r="AA211" s="349"/>
      <c r="AB211" s="345"/>
      <c r="AC211" s="346"/>
      <c r="AD211" s="377"/>
      <c r="AE211" s="242"/>
      <c r="AF211" s="337"/>
      <c r="AG211" s="344"/>
      <c r="AH211" s="344"/>
      <c r="AI211" s="242"/>
      <c r="AJ211" s="337"/>
    </row>
    <row r="212" spans="1:36" x14ac:dyDescent="0.3">
      <c r="A212" s="250"/>
      <c r="B212" s="241"/>
      <c r="C212" s="373"/>
      <c r="D212" s="253"/>
      <c r="E212" s="332"/>
      <c r="F212" s="241"/>
      <c r="G212" s="336"/>
      <c r="H212" s="232"/>
      <c r="I212" s="235"/>
      <c r="J212" s="339"/>
      <c r="K212" s="208">
        <f ca="1">IF(NOT(ISERROR(MATCH(J212,_xlfn.ANCHORARRAY(E223),0))),I225&amp;"Por favor no seleccionar los criterios de impacto",J212)</f>
        <v>0</v>
      </c>
      <c r="L212" s="232"/>
      <c r="M212" s="235"/>
      <c r="N212" s="238"/>
      <c r="O212" s="250"/>
      <c r="P212" s="253"/>
      <c r="Q212" s="353"/>
      <c r="R212" s="347"/>
      <c r="S212" s="347"/>
      <c r="T212" s="345"/>
      <c r="U212" s="347"/>
      <c r="V212" s="347"/>
      <c r="W212" s="347"/>
      <c r="X212" s="128" t="str">
        <f>IFERROR(IF(AND(Q211="Probabilidad",Q212="Probabilidad"),(Z211-(+Z211*T212)),IF(AND(Q211="Impacto",Q212="Probabilidad"),(Z210-(+Z210*T212)),IF(Q212="Impacto",Z211,""))),"")</f>
        <v/>
      </c>
      <c r="Y212" s="349"/>
      <c r="Z212" s="345"/>
      <c r="AA212" s="349"/>
      <c r="AB212" s="345"/>
      <c r="AC212" s="346"/>
      <c r="AD212" s="377"/>
      <c r="AE212" s="133"/>
      <c r="AF212" s="134"/>
      <c r="AG212" s="135"/>
      <c r="AH212" s="135"/>
      <c r="AI212" s="133"/>
      <c r="AJ212" s="134"/>
    </row>
    <row r="213" spans="1:36" x14ac:dyDescent="0.3">
      <c r="A213" s="250"/>
      <c r="B213" s="241"/>
      <c r="C213" s="373"/>
      <c r="D213" s="253"/>
      <c r="E213" s="332"/>
      <c r="F213" s="241"/>
      <c r="G213" s="336"/>
      <c r="H213" s="232"/>
      <c r="I213" s="235"/>
      <c r="J213" s="339"/>
      <c r="K213" s="208">
        <f ca="1">IF(NOT(ISERROR(MATCH(J213,_xlfn.ANCHORARRAY(E224),0))),I226&amp;"Por favor no seleccionar los criterios de impacto",J213)</f>
        <v>0</v>
      </c>
      <c r="L213" s="232"/>
      <c r="M213" s="235"/>
      <c r="N213" s="238"/>
      <c r="O213" s="250"/>
      <c r="P213" s="253"/>
      <c r="Q213" s="353"/>
      <c r="R213" s="347"/>
      <c r="S213" s="347"/>
      <c r="T213" s="345"/>
      <c r="U213" s="347"/>
      <c r="V213" s="347"/>
      <c r="W213" s="347"/>
      <c r="X213" s="128" t="str">
        <f t="shared" ref="X213:X215" si="172">IFERROR(IF(AND(Q212="Probabilidad",Q213="Probabilidad"),(Z212-(+Z212*T213)),IF(AND(Q212="Impacto",Q213="Probabilidad"),(Z211-(+Z211*T213)),IF(Q213="Impacto",Z212,""))),"")</f>
        <v/>
      </c>
      <c r="Y213" s="349"/>
      <c r="Z213" s="345"/>
      <c r="AA213" s="349"/>
      <c r="AB213" s="345"/>
      <c r="AC213" s="346"/>
      <c r="AD213" s="377"/>
      <c r="AE213" s="133"/>
      <c r="AF213" s="134"/>
      <c r="AG213" s="135"/>
      <c r="AH213" s="135"/>
      <c r="AI213" s="133"/>
      <c r="AJ213" s="134"/>
    </row>
    <row r="214" spans="1:36" x14ac:dyDescent="0.3">
      <c r="A214" s="250"/>
      <c r="B214" s="241"/>
      <c r="C214" s="373"/>
      <c r="D214" s="253"/>
      <c r="E214" s="332"/>
      <c r="F214" s="241"/>
      <c r="G214" s="336"/>
      <c r="H214" s="232"/>
      <c r="I214" s="235"/>
      <c r="J214" s="339"/>
      <c r="K214" s="208">
        <f ca="1">IF(NOT(ISERROR(MATCH(J214,_xlfn.ANCHORARRAY(E225),0))),I227&amp;"Por favor no seleccionar los criterios de impacto",J214)</f>
        <v>0</v>
      </c>
      <c r="L214" s="232"/>
      <c r="M214" s="235"/>
      <c r="N214" s="238"/>
      <c r="O214" s="250"/>
      <c r="P214" s="253"/>
      <c r="Q214" s="353"/>
      <c r="R214" s="347"/>
      <c r="S214" s="347"/>
      <c r="T214" s="345"/>
      <c r="U214" s="347"/>
      <c r="V214" s="347"/>
      <c r="W214" s="347"/>
      <c r="X214" s="128" t="str">
        <f t="shared" si="172"/>
        <v/>
      </c>
      <c r="Y214" s="349"/>
      <c r="Z214" s="345"/>
      <c r="AA214" s="349"/>
      <c r="AB214" s="345"/>
      <c r="AC214" s="346"/>
      <c r="AD214" s="377"/>
      <c r="AE214" s="133"/>
      <c r="AF214" s="134"/>
      <c r="AG214" s="135"/>
      <c r="AH214" s="135"/>
      <c r="AI214" s="133"/>
      <c r="AJ214" s="134"/>
    </row>
    <row r="215" spans="1:36" ht="111" customHeight="1" x14ac:dyDescent="0.3">
      <c r="A215" s="251"/>
      <c r="B215" s="242"/>
      <c r="C215" s="374"/>
      <c r="D215" s="254"/>
      <c r="E215" s="375"/>
      <c r="F215" s="242"/>
      <c r="G215" s="337"/>
      <c r="H215" s="233"/>
      <c r="I215" s="236"/>
      <c r="J215" s="340"/>
      <c r="K215" s="209">
        <f ca="1">IF(NOT(ISERROR(MATCH(J215,_xlfn.ANCHORARRAY(E226),0))),I228&amp;"Por favor no seleccionar los criterios de impacto",J215)</f>
        <v>0</v>
      </c>
      <c r="L215" s="233"/>
      <c r="M215" s="236"/>
      <c r="N215" s="239"/>
      <c r="O215" s="251"/>
      <c r="P215" s="254"/>
      <c r="Q215" s="334"/>
      <c r="R215" s="312"/>
      <c r="S215" s="312"/>
      <c r="T215" s="316"/>
      <c r="U215" s="312"/>
      <c r="V215" s="312"/>
      <c r="W215" s="312"/>
      <c r="X215" s="128" t="str">
        <f t="shared" si="172"/>
        <v/>
      </c>
      <c r="Y215" s="314"/>
      <c r="Z215" s="316"/>
      <c r="AA215" s="314"/>
      <c r="AB215" s="316"/>
      <c r="AC215" s="320"/>
      <c r="AD215" s="378"/>
      <c r="AE215" s="133"/>
      <c r="AF215" s="134"/>
      <c r="AG215" s="135"/>
      <c r="AH215" s="135"/>
      <c r="AI215" s="133"/>
      <c r="AJ215" s="134"/>
    </row>
    <row r="216" spans="1:36" ht="16.5" customHeight="1" x14ac:dyDescent="0.3">
      <c r="A216" s="249">
        <v>2</v>
      </c>
      <c r="B216" s="240" t="s">
        <v>134</v>
      </c>
      <c r="C216" s="240" t="s">
        <v>262</v>
      </c>
      <c r="D216" s="240" t="s">
        <v>263</v>
      </c>
      <c r="E216" s="331" t="s">
        <v>264</v>
      </c>
      <c r="F216" s="240" t="s">
        <v>123</v>
      </c>
      <c r="G216" s="335">
        <v>120</v>
      </c>
      <c r="H216" s="231" t="str">
        <f>IF(G216&lt;=0,"",IF(G216&lt;=2,"Muy Baja",IF(G216&lt;=24,"Baja",IF(G216&lt;=500,"Media",IF(G216&lt;=5000,"Alta","Muy Alta")))))</f>
        <v>Media</v>
      </c>
      <c r="I216" s="234">
        <f>IF(H216="","",IF(H216="Muy Baja",0.2,IF(H216="Baja",0.4,IF(H216="Media",0.6,IF(H216="Alta",0.8,IF(H216="Muy Alta",1,))))))</f>
        <v>0.6</v>
      </c>
      <c r="J216" s="338" t="s">
        <v>148</v>
      </c>
      <c r="K216" s="207" t="str">
        <f>IF(NOT(ISERROR(MATCH(J216,#REF!,0))),#REF!&amp;"Por favor no seleccionar los criterios de impacto(Afectación Económica o presupuestal y Pérdida Reputacional)",J216)</f>
        <v xml:space="preserve">     Entre 10 y 50 SMLMV </v>
      </c>
      <c r="L216" s="231" t="str">
        <f>IF(OR(K216='[3]Tabla Impacto'!$C$11,K216='[3]Tabla Impacto'!$D$11),"Leve",IF(OR(K216='[3]Tabla Impacto'!$C$12,K216='[3]Tabla Impacto'!$D$12),"Menor",IF(OR(K216='[3]Tabla Impacto'!$C$13,K216='[3]Tabla Impacto'!$D$13),"Moderado",IF(OR(K216='[3]Tabla Impacto'!$C$14,K216='[3]Tabla Impacto'!$D$14),"Mayor",IF(OR(K216='[3]Tabla Impacto'!$C$15,K216='[3]Tabla Impacto'!$D$15),"Catastrófico","")))))</f>
        <v>Menor</v>
      </c>
      <c r="M216" s="234">
        <f>IF(L216="","",IF(L216="Leve",0.2,IF(L216="Menor",0.4,IF(L216="Moderado",0.6,IF(L216="Mayor",0.8,IF(L216="Catastrófico",1,))))))</f>
        <v>0.4</v>
      </c>
      <c r="N216" s="237" t="str">
        <f>IF(OR(AND(H216="Muy Baja",L216="Leve"),AND(H216="Muy Baja",L216="Menor"),AND(H216="Baja",L216="Leve")),"Bajo",IF(OR(AND(H216="Muy baja",L216="Moderado"),AND(H216="Baja",L216="Menor"),AND(H216="Baja",L216="Moderado"),AND(H216="Media",L216="Leve"),AND(H216="Media",L216="Menor"),AND(H216="Media",L216="Moderado"),AND(H216="Alta",L216="Leve"),AND(H216="Alta",L216="Menor")),"Moderado",IF(OR(AND(H216="Muy Baja",L216="Mayor"),AND(H216="Baja",L216="Mayor"),AND(H216="Media",L216="Mayor"),AND(H216="Alta",L216="Moderado"),AND(H216="Alta",L216="Mayor"),AND(H216="Muy Alta",L216="Leve"),AND(H216="Muy Alta",L216="Menor"),AND(H216="Muy Alta",L216="Moderado"),AND(H216="Muy Alta",L216="Mayor")),"Alto",IF(OR(AND(H216="Muy Baja",L216="Catastrófico"),AND(H216="Baja",L216="Catastrófico"),AND(H216="Media",L216="Catastrófico"),AND(H216="Alta",L216="Catastrófico"),AND(H216="Muy Alta",L216="Catastrófico")),"Extremo",""))))</f>
        <v>Moderado</v>
      </c>
      <c r="O216" s="249">
        <v>2</v>
      </c>
      <c r="P216" s="341" t="s">
        <v>265</v>
      </c>
      <c r="Q216" s="333" t="str">
        <f>IF(OR(R216="Preventivo",R216="Detectivo"),"Probabilidad",IF(R216="Correctivo","Impacto",""))</f>
        <v>Probabilidad</v>
      </c>
      <c r="R216" s="311" t="s">
        <v>14</v>
      </c>
      <c r="S216" s="311" t="s">
        <v>9</v>
      </c>
      <c r="T216" s="315" t="str">
        <f>IF(AND(R216="Preventivo",S216="Automático"),"50%",IF(AND(R216="Preventivo",S216="Manual"),"40%",IF(AND(R216="Detectivo",S216="Automático"),"40%",IF(AND(R216="Detectivo",S216="Manual"),"30%",IF(AND(R216="Correctivo",S216="Automático"),"35%",IF(AND(R216="Correctivo",S216="Manual"),"25%",""))))))</f>
        <v>40%</v>
      </c>
      <c r="U216" s="311" t="s">
        <v>19</v>
      </c>
      <c r="V216" s="311" t="s">
        <v>22</v>
      </c>
      <c r="W216" s="376" t="s">
        <v>119</v>
      </c>
      <c r="X216" s="140">
        <f>IFERROR(IF(Q216="Probabilidad",(I216-(+I216*T216)),IF(Q216="Impacto",I216,"")),"")</f>
        <v>0.36</v>
      </c>
      <c r="Y216" s="313" t="str">
        <f>IFERROR(IF(X216="","",IF(X216&lt;=0.2,"Muy Baja",IF(X216&lt;=0.4,"Baja",IF(X216&lt;=0.6,"Media",IF(X216&lt;=0.8,"Alta","Muy Alta"))))),"")</f>
        <v>Baja</v>
      </c>
      <c r="Z216" s="315">
        <f>+X216</f>
        <v>0.36</v>
      </c>
      <c r="AA216" s="313" t="str">
        <f>IFERROR(IF(AB216="","",IF(AB216&lt;=0.2,"Leve",IF(AB216&lt;=0.4,"Menor",IF(AB216&lt;=0.6,"Moderado",IF(AB216&lt;=0.8,"Mayor","Catastrófico"))))),"")</f>
        <v>Menor</v>
      </c>
      <c r="AB216" s="317">
        <f>IFERROR(IF(Q216="Impacto",(M216-(+M216*T216)),IF(Q216="Probabilidad",M216,"")),"")</f>
        <v>0.4</v>
      </c>
      <c r="AC216" s="319" t="str">
        <f>IFERROR(IF(OR(AND(Y216="Muy Baja",AA216="Leve"),AND(Y216="Muy Baja",AA216="Menor"),AND(Y216="Baja",AA216="Leve")),"Bajo",IF(OR(AND(Y216="Muy baja",AA216="Moderado"),AND(Y216="Baja",AA216="Menor"),AND(Y216="Baja",AA216="Moderado"),AND(Y216="Media",AA216="Leve"),AND(Y216="Media",AA216="Menor"),AND(Y216="Media",AA216="Moderado"),AND(Y216="Alta",AA216="Leve"),AND(Y216="Alta",AA216="Menor")),"Moderado",IF(OR(AND(Y216="Muy Baja",AA216="Mayor"),AND(Y216="Baja",AA216="Mayor"),AND(Y216="Media",AA216="Mayor"),AND(Y216="Alta",AA216="Moderado"),AND(Y216="Alta",AA216="Mayor"),AND(Y216="Muy Alta",AA216="Leve"),AND(Y216="Muy Alta",AA216="Menor"),AND(Y216="Muy Alta",AA216="Moderado"),AND(Y216="Muy Alta",AA216="Mayor")),"Alto",IF(OR(AND(Y216="Muy Baja",AA216="Catastrófico"),AND(Y216="Baja",AA216="Catastrófico"),AND(Y216="Media",AA216="Catastrófico"),AND(Y216="Alta",AA216="Catastrófico"),AND(Y216="Muy Alta",AA216="Catastrófico")),"Extremo","")))),"")</f>
        <v>Moderado</v>
      </c>
      <c r="AD216" s="311" t="s">
        <v>32</v>
      </c>
      <c r="AE216" s="240"/>
      <c r="AF216" s="335" t="s">
        <v>261</v>
      </c>
      <c r="AG216" s="343"/>
      <c r="AH216" s="343"/>
      <c r="AI216" s="240"/>
      <c r="AJ216" s="335"/>
    </row>
    <row r="217" spans="1:36" x14ac:dyDescent="0.3">
      <c r="A217" s="250"/>
      <c r="B217" s="241"/>
      <c r="C217" s="241"/>
      <c r="D217" s="241"/>
      <c r="E217" s="332"/>
      <c r="F217" s="241"/>
      <c r="G217" s="336"/>
      <c r="H217" s="232"/>
      <c r="I217" s="235"/>
      <c r="J217" s="339"/>
      <c r="K217" s="208">
        <f ca="1">IF(NOT(ISERROR(MATCH(J217,_xlfn.ANCHORARRAY(E228),0))),I230&amp;"Por favor no seleccionar los criterios de impacto",J217)</f>
        <v>0</v>
      </c>
      <c r="L217" s="232"/>
      <c r="M217" s="235"/>
      <c r="N217" s="238"/>
      <c r="O217" s="250"/>
      <c r="P217" s="355"/>
      <c r="Q217" s="353"/>
      <c r="R217" s="347"/>
      <c r="S217" s="347"/>
      <c r="T217" s="345"/>
      <c r="U217" s="347"/>
      <c r="V217" s="347"/>
      <c r="W217" s="377"/>
      <c r="X217" s="140" t="str">
        <f>IFERROR(IF(AND(Q216="Probabilidad",Q217="Probabilidad"),(Z216-(+Z216*T217)),IF(Q217="Probabilidad",(I216-(+I216*T217)),IF(Q217="Impacto",Z216,""))),"")</f>
        <v/>
      </c>
      <c r="Y217" s="349"/>
      <c r="Z217" s="345"/>
      <c r="AA217" s="349"/>
      <c r="AB217" s="379"/>
      <c r="AC217" s="346"/>
      <c r="AD217" s="347"/>
      <c r="AE217" s="242"/>
      <c r="AF217" s="337"/>
      <c r="AG217" s="344"/>
      <c r="AH217" s="344"/>
      <c r="AI217" s="242"/>
      <c r="AJ217" s="337"/>
    </row>
    <row r="218" spans="1:36" x14ac:dyDescent="0.3">
      <c r="A218" s="250"/>
      <c r="B218" s="241"/>
      <c r="C218" s="241"/>
      <c r="D218" s="241"/>
      <c r="E218" s="332"/>
      <c r="F218" s="241"/>
      <c r="G218" s="336"/>
      <c r="H218" s="232"/>
      <c r="I218" s="235"/>
      <c r="J218" s="339"/>
      <c r="K218" s="208">
        <f ca="1">IF(NOT(ISERROR(MATCH(J218,_xlfn.ANCHORARRAY(E229),0))),I231&amp;"Por favor no seleccionar los criterios de impacto",J218)</f>
        <v>0</v>
      </c>
      <c r="L218" s="232"/>
      <c r="M218" s="235"/>
      <c r="N218" s="238"/>
      <c r="O218" s="250"/>
      <c r="P218" s="355"/>
      <c r="Q218" s="353"/>
      <c r="R218" s="347"/>
      <c r="S218" s="347"/>
      <c r="T218" s="345"/>
      <c r="U218" s="347"/>
      <c r="V218" s="347"/>
      <c r="W218" s="377"/>
      <c r="X218" s="128" t="str">
        <f>IFERROR(IF(AND(Q217="Probabilidad",Q218="Probabilidad"),(Z217-(+Z217*T218)),IF(AND(Q217="Impacto",Q218="Probabilidad"),(Z216-(+Z216*T218)),IF(Q218="Impacto",Z217,""))),"")</f>
        <v/>
      </c>
      <c r="Y218" s="349"/>
      <c r="Z218" s="345"/>
      <c r="AA218" s="349"/>
      <c r="AB218" s="379"/>
      <c r="AC218" s="346"/>
      <c r="AD218" s="347"/>
      <c r="AE218" s="133"/>
      <c r="AF218" s="134"/>
      <c r="AG218" s="135"/>
      <c r="AH218" s="135"/>
      <c r="AI218" s="133"/>
      <c r="AJ218" s="134"/>
    </row>
    <row r="219" spans="1:36" x14ac:dyDescent="0.3">
      <c r="A219" s="250"/>
      <c r="B219" s="241"/>
      <c r="C219" s="241"/>
      <c r="D219" s="241"/>
      <c r="E219" s="332"/>
      <c r="F219" s="241"/>
      <c r="G219" s="336"/>
      <c r="H219" s="232"/>
      <c r="I219" s="235"/>
      <c r="J219" s="339"/>
      <c r="K219" s="208">
        <f ca="1">IF(NOT(ISERROR(MATCH(J219,_xlfn.ANCHORARRAY(E230),0))),I232&amp;"Por favor no seleccionar los criterios de impacto",J219)</f>
        <v>0</v>
      </c>
      <c r="L219" s="232"/>
      <c r="M219" s="235"/>
      <c r="N219" s="238"/>
      <c r="O219" s="250"/>
      <c r="P219" s="355"/>
      <c r="Q219" s="353"/>
      <c r="R219" s="347"/>
      <c r="S219" s="347"/>
      <c r="T219" s="345"/>
      <c r="U219" s="347"/>
      <c r="V219" s="347"/>
      <c r="W219" s="377"/>
      <c r="X219" s="128" t="str">
        <f t="shared" ref="X219:X221" si="173">IFERROR(IF(AND(Q218="Probabilidad",Q219="Probabilidad"),(Z218-(+Z218*T219)),IF(AND(Q218="Impacto",Q219="Probabilidad"),(Z217-(+Z217*T219)),IF(Q219="Impacto",Z218,""))),"")</f>
        <v/>
      </c>
      <c r="Y219" s="349"/>
      <c r="Z219" s="345"/>
      <c r="AA219" s="349"/>
      <c r="AB219" s="379"/>
      <c r="AC219" s="346"/>
      <c r="AD219" s="347"/>
      <c r="AE219" s="133"/>
      <c r="AF219" s="134"/>
      <c r="AG219" s="135"/>
      <c r="AH219" s="135"/>
      <c r="AI219" s="133"/>
      <c r="AJ219" s="134"/>
    </row>
    <row r="220" spans="1:36" x14ac:dyDescent="0.3">
      <c r="A220" s="250"/>
      <c r="B220" s="241"/>
      <c r="C220" s="241"/>
      <c r="D220" s="241"/>
      <c r="E220" s="332"/>
      <c r="F220" s="241"/>
      <c r="G220" s="336"/>
      <c r="H220" s="232"/>
      <c r="I220" s="235"/>
      <c r="J220" s="339"/>
      <c r="K220" s="208">
        <f ca="1">IF(NOT(ISERROR(MATCH(J220,_xlfn.ANCHORARRAY(E231),0))),I233&amp;"Por favor no seleccionar los criterios de impacto",J220)</f>
        <v>0</v>
      </c>
      <c r="L220" s="232"/>
      <c r="M220" s="235"/>
      <c r="N220" s="238"/>
      <c r="O220" s="250"/>
      <c r="P220" s="355"/>
      <c r="Q220" s="353"/>
      <c r="R220" s="347"/>
      <c r="S220" s="347"/>
      <c r="T220" s="345"/>
      <c r="U220" s="347"/>
      <c r="V220" s="347"/>
      <c r="W220" s="377"/>
      <c r="X220" s="128" t="str">
        <f t="shared" si="173"/>
        <v/>
      </c>
      <c r="Y220" s="349"/>
      <c r="Z220" s="345"/>
      <c r="AA220" s="349"/>
      <c r="AB220" s="379"/>
      <c r="AC220" s="346"/>
      <c r="AD220" s="347"/>
      <c r="AE220" s="133"/>
      <c r="AF220" s="134"/>
      <c r="AG220" s="135"/>
      <c r="AH220" s="135"/>
      <c r="AI220" s="133"/>
      <c r="AJ220" s="134"/>
    </row>
    <row r="221" spans="1:36" ht="35.25" customHeight="1" x14ac:dyDescent="0.3">
      <c r="A221" s="251"/>
      <c r="B221" s="242"/>
      <c r="C221" s="242"/>
      <c r="D221" s="242"/>
      <c r="E221" s="375"/>
      <c r="F221" s="242"/>
      <c r="G221" s="337"/>
      <c r="H221" s="233"/>
      <c r="I221" s="236"/>
      <c r="J221" s="340"/>
      <c r="K221" s="209">
        <f ca="1">IF(NOT(ISERROR(MATCH(J221,_xlfn.ANCHORARRAY(E232),0))),I234&amp;"Por favor no seleccionar los criterios de impacto",J221)</f>
        <v>0</v>
      </c>
      <c r="L221" s="233"/>
      <c r="M221" s="236"/>
      <c r="N221" s="239"/>
      <c r="O221" s="251"/>
      <c r="P221" s="342"/>
      <c r="Q221" s="334"/>
      <c r="R221" s="312"/>
      <c r="S221" s="312"/>
      <c r="T221" s="316"/>
      <c r="U221" s="312"/>
      <c r="V221" s="312"/>
      <c r="W221" s="378"/>
      <c r="X221" s="128" t="str">
        <f t="shared" si="173"/>
        <v/>
      </c>
      <c r="Y221" s="314"/>
      <c r="Z221" s="345"/>
      <c r="AA221" s="314"/>
      <c r="AB221" s="379"/>
      <c r="AC221" s="320"/>
      <c r="AD221" s="347"/>
      <c r="AE221" s="133"/>
      <c r="AF221" s="134"/>
      <c r="AG221" s="135"/>
      <c r="AH221" s="135"/>
      <c r="AI221" s="133"/>
      <c r="AJ221" s="134"/>
    </row>
    <row r="222" spans="1:36" x14ac:dyDescent="0.3">
      <c r="A222" s="195" t="s">
        <v>224</v>
      </c>
      <c r="B222" s="196"/>
      <c r="C222" s="196"/>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c r="AA222" s="196"/>
      <c r="AB222" s="196"/>
      <c r="AC222" s="196"/>
      <c r="AD222" s="196"/>
      <c r="AE222" s="196"/>
      <c r="AF222" s="196"/>
      <c r="AG222" s="196"/>
      <c r="AH222" s="196"/>
      <c r="AI222" s="196"/>
      <c r="AJ222" s="197"/>
    </row>
    <row r="223" spans="1:36" x14ac:dyDescent="0.3">
      <c r="A223" s="198"/>
      <c r="B223" s="199"/>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c r="Z223" s="199"/>
      <c r="AA223" s="199"/>
      <c r="AB223" s="199"/>
      <c r="AC223" s="199"/>
      <c r="AD223" s="199"/>
      <c r="AE223" s="199"/>
      <c r="AF223" s="199"/>
      <c r="AG223" s="199"/>
      <c r="AH223" s="199"/>
      <c r="AI223" s="199"/>
      <c r="AJ223" s="200"/>
    </row>
    <row r="224" spans="1:36" x14ac:dyDescent="0.3">
      <c r="A224" s="27"/>
      <c r="B224" s="28"/>
      <c r="C224" s="27"/>
      <c r="D224" s="27"/>
      <c r="E224" s="8"/>
      <c r="F224" s="26"/>
      <c r="G224" s="8"/>
      <c r="H224" s="8"/>
      <c r="I224" s="8"/>
      <c r="J224" s="8"/>
      <c r="K224" s="8"/>
      <c r="L224" s="8"/>
      <c r="M224" s="8"/>
      <c r="N224" s="8"/>
      <c r="O224" s="25"/>
      <c r="P224" s="8"/>
      <c r="Q224" s="8"/>
      <c r="R224" s="8"/>
      <c r="S224" s="8"/>
      <c r="T224" s="8"/>
      <c r="U224" s="8"/>
      <c r="V224" s="8"/>
      <c r="W224" s="8"/>
      <c r="X224" s="8"/>
      <c r="Y224" s="8"/>
      <c r="Z224" s="8"/>
      <c r="AA224" s="8"/>
      <c r="AB224" s="8"/>
      <c r="AC224" s="8"/>
      <c r="AD224" s="8"/>
      <c r="AE224" s="8"/>
      <c r="AF224" s="8"/>
      <c r="AG224" s="8"/>
      <c r="AH224" s="8"/>
      <c r="AI224" s="8"/>
      <c r="AJ224" s="8"/>
    </row>
    <row r="225" spans="1:36" ht="27.75" customHeight="1" x14ac:dyDescent="0.3">
      <c r="A225" s="256" t="s">
        <v>43</v>
      </c>
      <c r="B225" s="257"/>
      <c r="C225" s="191" t="s">
        <v>266</v>
      </c>
      <c r="D225" s="192"/>
      <c r="E225" s="192"/>
      <c r="F225" s="192"/>
      <c r="G225" s="192"/>
      <c r="H225" s="192"/>
      <c r="I225" s="192"/>
      <c r="J225" s="192"/>
      <c r="K225" s="192"/>
      <c r="L225" s="192"/>
      <c r="M225" s="192"/>
      <c r="N225" s="193"/>
      <c r="O225" s="194"/>
      <c r="P225" s="194"/>
      <c r="Q225" s="194"/>
      <c r="R225" s="8"/>
      <c r="S225" s="8"/>
      <c r="T225" s="8"/>
      <c r="U225" s="8"/>
      <c r="V225" s="8"/>
      <c r="W225" s="8"/>
      <c r="X225" s="8"/>
      <c r="Y225" s="8"/>
      <c r="Z225" s="8"/>
      <c r="AA225" s="8"/>
      <c r="AB225" s="8"/>
      <c r="AC225" s="8"/>
      <c r="AD225" s="8"/>
      <c r="AE225" s="8"/>
      <c r="AF225" s="8"/>
      <c r="AG225" s="8"/>
      <c r="AH225" s="8"/>
      <c r="AI225" s="8"/>
      <c r="AJ225" s="8"/>
    </row>
    <row r="226" spans="1:36" ht="33.75" customHeight="1" x14ac:dyDescent="0.3">
      <c r="A226" s="256" t="s">
        <v>130</v>
      </c>
      <c r="B226" s="257"/>
      <c r="C226" s="266" t="s">
        <v>267</v>
      </c>
      <c r="D226" s="192"/>
      <c r="E226" s="192"/>
      <c r="F226" s="192"/>
      <c r="G226" s="192"/>
      <c r="H226" s="192"/>
      <c r="I226" s="192"/>
      <c r="J226" s="192"/>
      <c r="K226" s="192"/>
      <c r="L226" s="192"/>
      <c r="M226" s="192"/>
      <c r="N226" s="193"/>
      <c r="O226" s="25"/>
      <c r="P226" s="8"/>
      <c r="Q226" s="8"/>
      <c r="R226" s="8"/>
      <c r="S226" s="8"/>
      <c r="T226" s="8"/>
      <c r="U226" s="8"/>
      <c r="V226" s="8"/>
      <c r="W226" s="8"/>
      <c r="X226" s="8"/>
      <c r="Y226" s="8"/>
      <c r="Z226" s="8"/>
      <c r="AA226" s="8"/>
      <c r="AB226" s="8"/>
      <c r="AC226" s="8"/>
      <c r="AD226" s="8"/>
      <c r="AE226" s="8"/>
      <c r="AF226" s="8"/>
      <c r="AG226" s="8"/>
      <c r="AH226" s="8"/>
      <c r="AI226" s="8"/>
      <c r="AJ226" s="8"/>
    </row>
    <row r="227" spans="1:36" ht="32.25" customHeight="1" x14ac:dyDescent="0.3">
      <c r="A227" s="256" t="s">
        <v>44</v>
      </c>
      <c r="B227" s="257"/>
      <c r="C227" s="266" t="s">
        <v>268</v>
      </c>
      <c r="D227" s="267"/>
      <c r="E227" s="267"/>
      <c r="F227" s="267"/>
      <c r="G227" s="267"/>
      <c r="H227" s="267"/>
      <c r="I227" s="267"/>
      <c r="J227" s="267"/>
      <c r="K227" s="267"/>
      <c r="L227" s="267"/>
      <c r="M227" s="267"/>
      <c r="N227" s="268"/>
      <c r="O227" s="25"/>
      <c r="P227" s="8"/>
      <c r="Q227" s="8"/>
      <c r="R227" s="8"/>
      <c r="S227" s="8"/>
      <c r="T227" s="8"/>
      <c r="U227" s="8"/>
      <c r="V227" s="8"/>
      <c r="W227" s="8"/>
      <c r="X227" s="8"/>
      <c r="Y227" s="8"/>
      <c r="Z227" s="8"/>
      <c r="AA227" s="8"/>
      <c r="AB227" s="8"/>
      <c r="AC227" s="8"/>
      <c r="AD227" s="8"/>
      <c r="AE227" s="8"/>
      <c r="AF227" s="8"/>
      <c r="AG227" s="8"/>
      <c r="AH227" s="8"/>
      <c r="AI227" s="8"/>
      <c r="AJ227" s="8"/>
    </row>
    <row r="228" spans="1:36" x14ac:dyDescent="0.3">
      <c r="A228" s="201" t="s">
        <v>139</v>
      </c>
      <c r="B228" s="202"/>
      <c r="C228" s="202"/>
      <c r="D228" s="202"/>
      <c r="E228" s="202"/>
      <c r="F228" s="202"/>
      <c r="G228" s="203"/>
      <c r="H228" s="201" t="s">
        <v>140</v>
      </c>
      <c r="I228" s="202"/>
      <c r="J228" s="202"/>
      <c r="K228" s="202"/>
      <c r="L228" s="202"/>
      <c r="M228" s="202"/>
      <c r="N228" s="203"/>
      <c r="O228" s="201" t="s">
        <v>141</v>
      </c>
      <c r="P228" s="202"/>
      <c r="Q228" s="202"/>
      <c r="R228" s="202"/>
      <c r="S228" s="202"/>
      <c r="T228" s="202"/>
      <c r="U228" s="202"/>
      <c r="V228" s="202"/>
      <c r="W228" s="203"/>
      <c r="X228" s="201" t="s">
        <v>142</v>
      </c>
      <c r="Y228" s="202"/>
      <c r="Z228" s="202"/>
      <c r="AA228" s="202"/>
      <c r="AB228" s="202"/>
      <c r="AC228" s="202"/>
      <c r="AD228" s="203"/>
      <c r="AE228" s="201" t="s">
        <v>34</v>
      </c>
      <c r="AF228" s="202"/>
      <c r="AG228" s="202"/>
      <c r="AH228" s="202"/>
      <c r="AI228" s="202"/>
      <c r="AJ228" s="203"/>
    </row>
    <row r="229" spans="1:36" x14ac:dyDescent="0.3">
      <c r="A229" s="258" t="s">
        <v>0</v>
      </c>
      <c r="B229" s="263" t="s">
        <v>2</v>
      </c>
      <c r="C229" s="261" t="s">
        <v>3</v>
      </c>
      <c r="D229" s="261" t="s">
        <v>42</v>
      </c>
      <c r="E229" s="262" t="s">
        <v>1</v>
      </c>
      <c r="F229" s="260" t="s">
        <v>50</v>
      </c>
      <c r="G229" s="261" t="s">
        <v>135</v>
      </c>
      <c r="H229" s="270" t="s">
        <v>33</v>
      </c>
      <c r="I229" s="271" t="s">
        <v>5</v>
      </c>
      <c r="J229" s="260" t="s">
        <v>87</v>
      </c>
      <c r="K229" s="260" t="s">
        <v>92</v>
      </c>
      <c r="L229" s="273" t="s">
        <v>45</v>
      </c>
      <c r="M229" s="271" t="s">
        <v>5</v>
      </c>
      <c r="N229" s="261" t="s">
        <v>48</v>
      </c>
      <c r="O229" s="264" t="s">
        <v>11</v>
      </c>
      <c r="P229" s="255" t="s">
        <v>161</v>
      </c>
      <c r="Q229" s="260" t="s">
        <v>12</v>
      </c>
      <c r="R229" s="255" t="s">
        <v>8</v>
      </c>
      <c r="S229" s="255"/>
      <c r="T229" s="255"/>
      <c r="U229" s="255"/>
      <c r="V229" s="255"/>
      <c r="W229" s="255"/>
      <c r="X229" s="269" t="s">
        <v>138</v>
      </c>
      <c r="Y229" s="269" t="s">
        <v>46</v>
      </c>
      <c r="Z229" s="269" t="s">
        <v>5</v>
      </c>
      <c r="AA229" s="269" t="s">
        <v>47</v>
      </c>
      <c r="AB229" s="269" t="s">
        <v>5</v>
      </c>
      <c r="AC229" s="269" t="s">
        <v>49</v>
      </c>
      <c r="AD229" s="264" t="s">
        <v>29</v>
      </c>
      <c r="AE229" s="255" t="s">
        <v>34</v>
      </c>
      <c r="AF229" s="255" t="s">
        <v>35</v>
      </c>
      <c r="AG229" s="255" t="s">
        <v>36</v>
      </c>
      <c r="AH229" s="255" t="s">
        <v>38</v>
      </c>
      <c r="AI229" s="255" t="s">
        <v>37</v>
      </c>
      <c r="AJ229" s="255" t="s">
        <v>39</v>
      </c>
    </row>
    <row r="230" spans="1:36" ht="85.5" customHeight="1" x14ac:dyDescent="0.3">
      <c r="A230" s="259"/>
      <c r="B230" s="263"/>
      <c r="C230" s="255"/>
      <c r="D230" s="255"/>
      <c r="E230" s="263"/>
      <c r="F230" s="261"/>
      <c r="G230" s="255"/>
      <c r="H230" s="261"/>
      <c r="I230" s="272"/>
      <c r="J230" s="261"/>
      <c r="K230" s="261"/>
      <c r="L230" s="272"/>
      <c r="M230" s="272"/>
      <c r="N230" s="255"/>
      <c r="O230" s="265"/>
      <c r="P230" s="255"/>
      <c r="Q230" s="261"/>
      <c r="R230" s="7" t="s">
        <v>13</v>
      </c>
      <c r="S230" s="7" t="s">
        <v>17</v>
      </c>
      <c r="T230" s="7" t="s">
        <v>28</v>
      </c>
      <c r="U230" s="7" t="s">
        <v>18</v>
      </c>
      <c r="V230" s="7" t="s">
        <v>21</v>
      </c>
      <c r="W230" s="7" t="s">
        <v>24</v>
      </c>
      <c r="X230" s="269"/>
      <c r="Y230" s="269"/>
      <c r="Z230" s="269"/>
      <c r="AA230" s="269"/>
      <c r="AB230" s="269"/>
      <c r="AC230" s="269"/>
      <c r="AD230" s="265"/>
      <c r="AE230" s="255"/>
      <c r="AF230" s="255"/>
      <c r="AG230" s="255"/>
      <c r="AH230" s="255"/>
      <c r="AI230" s="255"/>
      <c r="AJ230" s="255"/>
    </row>
    <row r="231" spans="1:36" ht="16.5" customHeight="1" x14ac:dyDescent="0.3">
      <c r="A231" s="249">
        <v>1</v>
      </c>
      <c r="B231" s="240" t="s">
        <v>134</v>
      </c>
      <c r="C231" s="240" t="s">
        <v>282</v>
      </c>
      <c r="D231" s="240" t="s">
        <v>284</v>
      </c>
      <c r="E231" s="252" t="s">
        <v>269</v>
      </c>
      <c r="F231" s="240" t="s">
        <v>123</v>
      </c>
      <c r="G231" s="335">
        <v>3650</v>
      </c>
      <c r="H231" s="231" t="str">
        <f>IF(G231&lt;=0,"",IF(G231&lt;=2,"Muy Baja",IF(G231&lt;=24,"Baja",IF(G231&lt;=500,"Media",IF(G231&lt;=5000,"Alta","Muy Alta")))))</f>
        <v>Alta</v>
      </c>
      <c r="I231" s="234">
        <f>IF(H231="","",IF(H231="Muy Baja",0.2,IF(H231="Baja",0.4,IF(H231="Media",0.6,IF(H231="Alta",0.8,IF(H231="Muy Alta",1,))))))</f>
        <v>0.8</v>
      </c>
      <c r="J231" s="338" t="s">
        <v>148</v>
      </c>
      <c r="K231" s="207" t="str">
        <f>IF(NOT(ISERROR(MATCH(J231,#REF!,0))),#REF!&amp;"Por favor no seleccionar los criterios de impacto(Afectación Económica o presupuestal y Pérdida Reputacional)",J231)</f>
        <v xml:space="preserve">     Entre 10 y 50 SMLMV </v>
      </c>
      <c r="L231" s="231" t="str">
        <f>IF(OR(K231='[3]Tabla Impacto'!$C$11,K231='[3]Tabla Impacto'!$D$11),"Leve",IF(OR(K231='[3]Tabla Impacto'!$C$12,K231='[3]Tabla Impacto'!$D$12),"Menor",IF(OR(K231='[3]Tabla Impacto'!$C$13,K231='[3]Tabla Impacto'!$D$13),"Moderado",IF(OR(K231='[3]Tabla Impacto'!$C$14,K231='[3]Tabla Impacto'!$D$14),"Mayor",IF(OR(K231='[3]Tabla Impacto'!$C$15,K231='[3]Tabla Impacto'!$D$15),"Catastrófico","")))))</f>
        <v>Menor</v>
      </c>
      <c r="M231" s="234">
        <f>IF(L231="","",IF(L231="Leve",0.2,IF(L231="Menor",0.4,IF(L231="Moderado",0.6,IF(L231="Mayor",0.8,IF(L231="Catastrófico",1,))))))</f>
        <v>0.4</v>
      </c>
      <c r="N231" s="237" t="str">
        <f>IF(OR(AND(H231="Muy Baja",L231="Leve"),AND(H231="Muy Baja",L231="Menor"),AND(H231="Baja",L231="Leve")),"Bajo",IF(OR(AND(H231="Muy baja",L231="Moderado"),AND(H231="Baja",L231="Menor"),AND(H231="Baja",L231="Moderado"),AND(H231="Media",L231="Leve"),AND(H231="Media",L231="Menor"),AND(H231="Media",L231="Moderado"),AND(H231="Alta",L231="Leve"),AND(H231="Alta",L231="Menor")),"Moderado",IF(OR(AND(H231="Muy Baja",L231="Mayor"),AND(H231="Baja",L231="Mayor"),AND(H231="Media",L231="Mayor"),AND(H231="Alta",L231="Moderado"),AND(H231="Alta",L231="Mayor"),AND(H231="Muy Alta",L231="Leve"),AND(H231="Muy Alta",L231="Menor"),AND(H231="Muy Alta",L231="Moderado"),AND(H231="Muy Alta",L231="Mayor")),"Alto",IF(OR(AND(H231="Muy Baja",L231="Catastrófico"),AND(H231="Baja",L231="Catastrófico"),AND(H231="Media",L231="Catastrófico"),AND(H231="Alta",L231="Catastrófico"),AND(H231="Muy Alta",L231="Catastrófico")),"Extremo",""))))</f>
        <v>Moderado</v>
      </c>
      <c r="O231" s="249">
        <v>1</v>
      </c>
      <c r="P231" s="240" t="s">
        <v>270</v>
      </c>
      <c r="Q231" s="333" t="str">
        <f>IF(OR(R231="Preventivo",R231="Detectivo"),"Probabilidad",IF(R231="Correctivo","Impacto",""))</f>
        <v>Probabilidad</v>
      </c>
      <c r="R231" s="311" t="s">
        <v>14</v>
      </c>
      <c r="S231" s="311" t="s">
        <v>9</v>
      </c>
      <c r="T231" s="315" t="str">
        <f>IF(AND(R231="Preventivo",S231="Automático"),"50%",IF(AND(R231="Preventivo",S231="Manual"),"40%",IF(AND(R231="Detectivo",S231="Automático"),"40%",IF(AND(R231="Detectivo",S231="Manual"),"30%",IF(AND(R231="Correctivo",S231="Automático"),"35%",IF(AND(R231="Correctivo",S231="Manual"),"25%",""))))))</f>
        <v>40%</v>
      </c>
      <c r="U231" s="311" t="s">
        <v>19</v>
      </c>
      <c r="V231" s="311" t="s">
        <v>22</v>
      </c>
      <c r="W231" s="311" t="s">
        <v>119</v>
      </c>
      <c r="X231" s="140">
        <f>IFERROR(IF(Q231="Probabilidad",(I231-(+I231*T231)),IF(Q231="Impacto",I231,"")),"")</f>
        <v>0.48</v>
      </c>
      <c r="Y231" s="313" t="str">
        <f>IFERROR(IF(X231="","",IF(X231&lt;=0.2,"Muy Baja",IF(X231&lt;=0.4,"Baja",IF(X231&lt;=0.6,"Media",IF(X231&lt;=0.8,"Alta","Muy Alta"))))),"")</f>
        <v>Media</v>
      </c>
      <c r="Z231" s="315">
        <f>+X231</f>
        <v>0.48</v>
      </c>
      <c r="AA231" s="313" t="str">
        <f>IFERROR(IF(AB231="","",IF(AB231&lt;=0.2,"Leve",IF(AB231&lt;=0.4,"Menor",IF(AB231&lt;=0.6,"Moderado",IF(AB231&lt;=0.8,"Mayor","Catastrófico"))))),"")</f>
        <v>Menor</v>
      </c>
      <c r="AB231" s="315">
        <f>IFERROR(IF(Q231="Impacto",(M231-(+M231*T231)),IF(Q231="Probabilidad",M231,"")),"")</f>
        <v>0.4</v>
      </c>
      <c r="AC231" s="319" t="str">
        <f>IFERROR(IF(OR(AND(Y231="Muy Baja",AA231="Leve"),AND(Y231="Muy Baja",AA231="Menor"),AND(Y231="Baja",AA231="Leve")),"Bajo",IF(OR(AND(Y231="Muy baja",AA231="Moderado"),AND(Y231="Baja",AA231="Menor"),AND(Y231="Baja",AA231="Moderado"),AND(Y231="Media",AA231="Leve"),AND(Y231="Media",AA231="Menor"),AND(Y231="Media",AA231="Moderado"),AND(Y231="Alta",AA231="Leve"),AND(Y231="Alta",AA231="Menor")),"Moderado",IF(OR(AND(Y231="Muy Baja",AA231="Mayor"),AND(Y231="Baja",AA231="Mayor"),AND(Y231="Media",AA231="Mayor"),AND(Y231="Alta",AA231="Moderado"),AND(Y231="Alta",AA231="Mayor"),AND(Y231="Muy Alta",AA231="Leve"),AND(Y231="Muy Alta",AA231="Menor"),AND(Y231="Muy Alta",AA231="Moderado"),AND(Y231="Muy Alta",AA231="Mayor")),"Alto",IF(OR(AND(Y231="Muy Baja",AA231="Catastrófico"),AND(Y231="Baja",AA231="Catastrófico"),AND(Y231="Media",AA231="Catastrófico"),AND(Y231="Alta",AA231="Catastrófico"),AND(Y231="Muy Alta",AA231="Catastrófico")),"Extremo","")))),"")</f>
        <v>Moderado</v>
      </c>
      <c r="AD231" s="311" t="s">
        <v>32</v>
      </c>
      <c r="AE231" s="240"/>
      <c r="AF231" s="335"/>
      <c r="AG231" s="343"/>
      <c r="AH231" s="343"/>
      <c r="AI231" s="240"/>
      <c r="AJ231" s="335"/>
    </row>
    <row r="232" spans="1:36" x14ac:dyDescent="0.3">
      <c r="A232" s="250"/>
      <c r="B232" s="241"/>
      <c r="C232" s="241"/>
      <c r="D232" s="241"/>
      <c r="E232" s="253"/>
      <c r="F232" s="241"/>
      <c r="G232" s="336"/>
      <c r="H232" s="232"/>
      <c r="I232" s="235"/>
      <c r="J232" s="339"/>
      <c r="K232" s="208">
        <f ca="1">IF(NOT(ISERROR(MATCH(J232,_xlfn.ANCHORARRAY(E243),0))),I245&amp;"Por favor no seleccionar los criterios de impacto",J232)</f>
        <v>0</v>
      </c>
      <c r="L232" s="232"/>
      <c r="M232" s="235"/>
      <c r="N232" s="238"/>
      <c r="O232" s="250"/>
      <c r="P232" s="241"/>
      <c r="Q232" s="353"/>
      <c r="R232" s="347"/>
      <c r="S232" s="347"/>
      <c r="T232" s="345"/>
      <c r="U232" s="347"/>
      <c r="V232" s="347"/>
      <c r="W232" s="347"/>
      <c r="X232" s="128" t="str">
        <f>IFERROR(IF(AND(Q231="Probabilidad",Q232="Probabilidad"),(Z231-(+Z231*T232)),IF(Q232="Probabilidad",(I231-(+I231*T232)),IF(Q232="Impacto",Z231,""))),"")</f>
        <v/>
      </c>
      <c r="Y232" s="349"/>
      <c r="Z232" s="345"/>
      <c r="AA232" s="349"/>
      <c r="AB232" s="345"/>
      <c r="AC232" s="346"/>
      <c r="AD232" s="347"/>
      <c r="AE232" s="242"/>
      <c r="AF232" s="337"/>
      <c r="AG232" s="344"/>
      <c r="AH232" s="344"/>
      <c r="AI232" s="242"/>
      <c r="AJ232" s="337"/>
    </row>
    <row r="233" spans="1:36" x14ac:dyDescent="0.3">
      <c r="A233" s="250"/>
      <c r="B233" s="241"/>
      <c r="C233" s="241"/>
      <c r="D233" s="241"/>
      <c r="E233" s="253"/>
      <c r="F233" s="241"/>
      <c r="G233" s="336"/>
      <c r="H233" s="232"/>
      <c r="I233" s="235"/>
      <c r="J233" s="339"/>
      <c r="K233" s="208">
        <f ca="1">IF(NOT(ISERROR(MATCH(J233,_xlfn.ANCHORARRAY(E244),0))),I246&amp;"Por favor no seleccionar los criterios de impacto",J233)</f>
        <v>0</v>
      </c>
      <c r="L233" s="232"/>
      <c r="M233" s="235"/>
      <c r="N233" s="238"/>
      <c r="O233" s="250"/>
      <c r="P233" s="241"/>
      <c r="Q233" s="353"/>
      <c r="R233" s="347"/>
      <c r="S233" s="347"/>
      <c r="T233" s="345"/>
      <c r="U233" s="347"/>
      <c r="V233" s="347"/>
      <c r="W233" s="347"/>
      <c r="X233" s="128" t="str">
        <f>IFERROR(IF(AND(Q232="Probabilidad",Q233="Probabilidad"),(Z232-(+Z232*T233)),IF(AND(Q232="Impacto",Q233="Probabilidad"),(Z231-(+Z231*T233)),IF(Q233="Impacto",Z232,""))),"")</f>
        <v/>
      </c>
      <c r="Y233" s="349"/>
      <c r="Z233" s="345"/>
      <c r="AA233" s="349"/>
      <c r="AB233" s="345"/>
      <c r="AC233" s="346"/>
      <c r="AD233" s="347"/>
      <c r="AE233" s="133"/>
      <c r="AF233" s="134"/>
      <c r="AG233" s="135"/>
      <c r="AH233" s="135"/>
      <c r="AI233" s="133"/>
      <c r="AJ233" s="134"/>
    </row>
    <row r="234" spans="1:36" x14ac:dyDescent="0.3">
      <c r="A234" s="250"/>
      <c r="B234" s="241"/>
      <c r="C234" s="241"/>
      <c r="D234" s="241"/>
      <c r="E234" s="253"/>
      <c r="F234" s="241"/>
      <c r="G234" s="336"/>
      <c r="H234" s="232"/>
      <c r="I234" s="235"/>
      <c r="J234" s="339"/>
      <c r="K234" s="208">
        <f ca="1">IF(NOT(ISERROR(MATCH(J234,_xlfn.ANCHORARRAY(E245),0))),I247&amp;"Por favor no seleccionar los criterios de impacto",J234)</f>
        <v>0</v>
      </c>
      <c r="L234" s="232"/>
      <c r="M234" s="235"/>
      <c r="N234" s="238"/>
      <c r="O234" s="250"/>
      <c r="P234" s="241"/>
      <c r="Q234" s="353"/>
      <c r="R234" s="347"/>
      <c r="S234" s="347"/>
      <c r="T234" s="345"/>
      <c r="U234" s="347"/>
      <c r="V234" s="347"/>
      <c r="W234" s="347"/>
      <c r="X234" s="128" t="str">
        <f t="shared" ref="X234:X236" si="174">IFERROR(IF(AND(Q233="Probabilidad",Q234="Probabilidad"),(Z233-(+Z233*T234)),IF(AND(Q233="Impacto",Q234="Probabilidad"),(Z232-(+Z232*T234)),IF(Q234="Impacto",Z233,""))),"")</f>
        <v/>
      </c>
      <c r="Y234" s="349"/>
      <c r="Z234" s="345"/>
      <c r="AA234" s="349"/>
      <c r="AB234" s="345"/>
      <c r="AC234" s="346"/>
      <c r="AD234" s="347"/>
      <c r="AE234" s="133"/>
      <c r="AF234" s="134"/>
      <c r="AG234" s="135"/>
      <c r="AH234" s="135"/>
      <c r="AI234" s="133"/>
      <c r="AJ234" s="134"/>
    </row>
    <row r="235" spans="1:36" x14ac:dyDescent="0.3">
      <c r="A235" s="250"/>
      <c r="B235" s="241"/>
      <c r="C235" s="241"/>
      <c r="D235" s="241"/>
      <c r="E235" s="253"/>
      <c r="F235" s="241"/>
      <c r="G235" s="336"/>
      <c r="H235" s="232"/>
      <c r="I235" s="235"/>
      <c r="J235" s="339"/>
      <c r="K235" s="208">
        <f ca="1">IF(NOT(ISERROR(MATCH(J235,_xlfn.ANCHORARRAY(E246),0))),I248&amp;"Por favor no seleccionar los criterios de impacto",J235)</f>
        <v>0</v>
      </c>
      <c r="L235" s="232"/>
      <c r="M235" s="235"/>
      <c r="N235" s="238"/>
      <c r="O235" s="250"/>
      <c r="P235" s="241"/>
      <c r="Q235" s="353"/>
      <c r="R235" s="347"/>
      <c r="S235" s="347"/>
      <c r="T235" s="345"/>
      <c r="U235" s="347"/>
      <c r="V235" s="347"/>
      <c r="W235" s="347"/>
      <c r="X235" s="128" t="str">
        <f t="shared" si="174"/>
        <v/>
      </c>
      <c r="Y235" s="349"/>
      <c r="Z235" s="345"/>
      <c r="AA235" s="349"/>
      <c r="AB235" s="345"/>
      <c r="AC235" s="346"/>
      <c r="AD235" s="347"/>
      <c r="AE235" s="133"/>
      <c r="AF235" s="134"/>
      <c r="AG235" s="135"/>
      <c r="AH235" s="135"/>
      <c r="AI235" s="133"/>
      <c r="AJ235" s="134"/>
    </row>
    <row r="236" spans="1:36" ht="161.25" customHeight="1" x14ac:dyDescent="0.3">
      <c r="A236" s="251"/>
      <c r="B236" s="242"/>
      <c r="C236" s="242"/>
      <c r="D236" s="242"/>
      <c r="E236" s="254"/>
      <c r="F236" s="242"/>
      <c r="G236" s="337"/>
      <c r="H236" s="233"/>
      <c r="I236" s="236"/>
      <c r="J236" s="340"/>
      <c r="K236" s="209">
        <f ca="1">IF(NOT(ISERROR(MATCH(J236,_xlfn.ANCHORARRAY(E247),0))),I249&amp;"Por favor no seleccionar los criterios de impacto",J236)</f>
        <v>0</v>
      </c>
      <c r="L236" s="233"/>
      <c r="M236" s="236"/>
      <c r="N236" s="239"/>
      <c r="O236" s="251"/>
      <c r="P236" s="242"/>
      <c r="Q236" s="334"/>
      <c r="R236" s="312"/>
      <c r="S236" s="312"/>
      <c r="T236" s="316"/>
      <c r="U236" s="312"/>
      <c r="V236" s="312"/>
      <c r="W236" s="312"/>
      <c r="X236" s="128" t="str">
        <f t="shared" si="174"/>
        <v/>
      </c>
      <c r="Y236" s="314"/>
      <c r="Z236" s="345"/>
      <c r="AA236" s="314"/>
      <c r="AB236" s="345"/>
      <c r="AC236" s="320"/>
      <c r="AD236" s="347"/>
      <c r="AE236" s="133"/>
      <c r="AF236" s="134"/>
      <c r="AG236" s="135"/>
      <c r="AH236" s="135"/>
      <c r="AI236" s="133"/>
      <c r="AJ236" s="134"/>
    </row>
  </sheetData>
  <sheetProtection algorithmName="SHA-512" hashValue="L4pVXBpLDULK9fyic5vw4WIHlecDHS5PPjs5St/+M1kw9sPgl3KiEkzrkucCa8f2NIFCD9EA8iQKhjid90bR2A==" saltValue="fAypNaXbMuJoakdqr8EB5w==" spinCount="100000" sheet="1" objects="1" scenarios="1" selectLockedCells="1" selectUnlockedCells="1"/>
  <dataConsolidate/>
  <mergeCells count="933">
    <mergeCell ref="AF231:AF232"/>
    <mergeCell ref="AG231:AG232"/>
    <mergeCell ref="AH231:AH232"/>
    <mergeCell ref="AI231:AI232"/>
    <mergeCell ref="AJ231:AJ232"/>
    <mergeCell ref="P231:P236"/>
    <mergeCell ref="O231:O236"/>
    <mergeCell ref="Q231:Q236"/>
    <mergeCell ref="R231:R236"/>
    <mergeCell ref="S231:S236"/>
    <mergeCell ref="T231:T236"/>
    <mergeCell ref="U231:U236"/>
    <mergeCell ref="V231:V236"/>
    <mergeCell ref="W231:W236"/>
    <mergeCell ref="Y231:Y236"/>
    <mergeCell ref="Z231:Z236"/>
    <mergeCell ref="AA231:AA236"/>
    <mergeCell ref="AB231:AB236"/>
    <mergeCell ref="AC231:AC236"/>
    <mergeCell ref="AD231:AD236"/>
    <mergeCell ref="AE231:AE232"/>
    <mergeCell ref="J231:J236"/>
    <mergeCell ref="K231:K236"/>
    <mergeCell ref="L231:L236"/>
    <mergeCell ref="M231:M236"/>
    <mergeCell ref="N231:N236"/>
    <mergeCell ref="Y229:Y230"/>
    <mergeCell ref="Z229:Z230"/>
    <mergeCell ref="AA229:AA230"/>
    <mergeCell ref="AB229:AB230"/>
    <mergeCell ref="R229:W229"/>
    <mergeCell ref="X229:X230"/>
    <mergeCell ref="A231:A236"/>
    <mergeCell ref="B231:B236"/>
    <mergeCell ref="C231:C236"/>
    <mergeCell ref="D231:D236"/>
    <mergeCell ref="E231:E236"/>
    <mergeCell ref="F231:F236"/>
    <mergeCell ref="G231:G236"/>
    <mergeCell ref="H231:H236"/>
    <mergeCell ref="I231:I236"/>
    <mergeCell ref="AE228:AJ228"/>
    <mergeCell ref="A229:A230"/>
    <mergeCell ref="B229:B230"/>
    <mergeCell ref="C229:C230"/>
    <mergeCell ref="D229:D230"/>
    <mergeCell ref="E229:E230"/>
    <mergeCell ref="F229:F230"/>
    <mergeCell ref="G229:G230"/>
    <mergeCell ref="H229:H230"/>
    <mergeCell ref="I229:I230"/>
    <mergeCell ref="J229:J230"/>
    <mergeCell ref="K229:K230"/>
    <mergeCell ref="L229:L230"/>
    <mergeCell ref="M229:M230"/>
    <mergeCell ref="N229:N230"/>
    <mergeCell ref="O229:O230"/>
    <mergeCell ref="P229:P230"/>
    <mergeCell ref="Q229:Q230"/>
    <mergeCell ref="AH229:AH230"/>
    <mergeCell ref="AI229:AI230"/>
    <mergeCell ref="AJ229:AJ230"/>
    <mergeCell ref="AC229:AC230"/>
    <mergeCell ref="AD229:AD230"/>
    <mergeCell ref="AE229:AE230"/>
    <mergeCell ref="A225:B225"/>
    <mergeCell ref="C225:N225"/>
    <mergeCell ref="O225:Q225"/>
    <mergeCell ref="A226:B226"/>
    <mergeCell ref="C226:N226"/>
    <mergeCell ref="A227:B227"/>
    <mergeCell ref="C227:N227"/>
    <mergeCell ref="AE216:AE217"/>
    <mergeCell ref="AF216:AF217"/>
    <mergeCell ref="R216:R221"/>
    <mergeCell ref="S216:S221"/>
    <mergeCell ref="T216:T221"/>
    <mergeCell ref="U216:U221"/>
    <mergeCell ref="V216:V221"/>
    <mergeCell ref="P210:P215"/>
    <mergeCell ref="AC216:AC221"/>
    <mergeCell ref="AD216:AD221"/>
    <mergeCell ref="A222:AJ223"/>
    <mergeCell ref="AG216:AG217"/>
    <mergeCell ref="AH216:AH217"/>
    <mergeCell ref="AI216:AI217"/>
    <mergeCell ref="AJ216:AJ217"/>
    <mergeCell ref="T210:T215"/>
    <mergeCell ref="U210:U215"/>
    <mergeCell ref="V210:V215"/>
    <mergeCell ref="AE210:AE211"/>
    <mergeCell ref="AF210:AF211"/>
    <mergeCell ref="AG210:AG211"/>
    <mergeCell ref="AF229:AF230"/>
    <mergeCell ref="AG229:AG230"/>
    <mergeCell ref="A228:G228"/>
    <mergeCell ref="H228:N228"/>
    <mergeCell ref="O228:W228"/>
    <mergeCell ref="X228:AD228"/>
    <mergeCell ref="AB210:AB215"/>
    <mergeCell ref="AC210:AC215"/>
    <mergeCell ref="AD210:AD215"/>
    <mergeCell ref="W216:W221"/>
    <mergeCell ref="Y216:Y221"/>
    <mergeCell ref="Z216:Z221"/>
    <mergeCell ref="AA216:AA221"/>
    <mergeCell ref="AB216:AB221"/>
    <mergeCell ref="O210:O215"/>
    <mergeCell ref="P216:P221"/>
    <mergeCell ref="O216:O221"/>
    <mergeCell ref="Q216:Q221"/>
    <mergeCell ref="AH210:AH211"/>
    <mergeCell ref="AI210:AI211"/>
    <mergeCell ref="AJ210:AJ211"/>
    <mergeCell ref="A216:A221"/>
    <mergeCell ref="B216:B221"/>
    <mergeCell ref="C216:C221"/>
    <mergeCell ref="D216:D221"/>
    <mergeCell ref="E216:E221"/>
    <mergeCell ref="F216:F221"/>
    <mergeCell ref="G216:G221"/>
    <mergeCell ref="H216:H221"/>
    <mergeCell ref="I216:I221"/>
    <mergeCell ref="J216:J221"/>
    <mergeCell ref="K216:K221"/>
    <mergeCell ref="L216:L221"/>
    <mergeCell ref="M216:M221"/>
    <mergeCell ref="N216:N221"/>
    <mergeCell ref="W210:W215"/>
    <mergeCell ref="Y210:Y215"/>
    <mergeCell ref="Z210:Z215"/>
    <mergeCell ref="AA210:AA215"/>
    <mergeCell ref="Q210:Q215"/>
    <mergeCell ref="R210:R215"/>
    <mergeCell ref="S210:S215"/>
    <mergeCell ref="AG208:AG209"/>
    <mergeCell ref="AH208:AH209"/>
    <mergeCell ref="AI208:AI209"/>
    <mergeCell ref="AJ208:AJ209"/>
    <mergeCell ref="A210:A215"/>
    <mergeCell ref="B210:B215"/>
    <mergeCell ref="C210:C215"/>
    <mergeCell ref="D210:D215"/>
    <mergeCell ref="E210:E215"/>
    <mergeCell ref="F210:F215"/>
    <mergeCell ref="G210:G215"/>
    <mergeCell ref="H210:H215"/>
    <mergeCell ref="I210:I215"/>
    <mergeCell ref="J210:J215"/>
    <mergeCell ref="K210:K215"/>
    <mergeCell ref="L210:L215"/>
    <mergeCell ref="M210:M215"/>
    <mergeCell ref="N210:N215"/>
    <mergeCell ref="X208:X209"/>
    <mergeCell ref="Y208:Y209"/>
    <mergeCell ref="Z208:Z209"/>
    <mergeCell ref="AA208:AA209"/>
    <mergeCell ref="AB208:AB209"/>
    <mergeCell ref="AC208:AC209"/>
    <mergeCell ref="AD208:AD209"/>
    <mergeCell ref="AE208:AE209"/>
    <mergeCell ref="AF208:AF209"/>
    <mergeCell ref="J208:J209"/>
    <mergeCell ref="K208:K209"/>
    <mergeCell ref="L208:L209"/>
    <mergeCell ref="M208:M209"/>
    <mergeCell ref="N208:N209"/>
    <mergeCell ref="O208:O209"/>
    <mergeCell ref="P208:P209"/>
    <mergeCell ref="Q208:Q209"/>
    <mergeCell ref="R208:W208"/>
    <mergeCell ref="A208:A209"/>
    <mergeCell ref="B208:B209"/>
    <mergeCell ref="C208:C209"/>
    <mergeCell ref="D208:D209"/>
    <mergeCell ref="E208:E209"/>
    <mergeCell ref="F208:F209"/>
    <mergeCell ref="G208:G209"/>
    <mergeCell ref="H208:H209"/>
    <mergeCell ref="I208:I209"/>
    <mergeCell ref="A201:AJ202"/>
    <mergeCell ref="A204:B204"/>
    <mergeCell ref="C204:N204"/>
    <mergeCell ref="O204:Q204"/>
    <mergeCell ref="A205:B205"/>
    <mergeCell ref="C205:N205"/>
    <mergeCell ref="A206:B206"/>
    <mergeCell ref="C206:N206"/>
    <mergeCell ref="A207:G207"/>
    <mergeCell ref="H207:N207"/>
    <mergeCell ref="O207:W207"/>
    <mergeCell ref="X207:AD207"/>
    <mergeCell ref="AE207:AJ207"/>
    <mergeCell ref="AE195:AE196"/>
    <mergeCell ref="AF195:AF196"/>
    <mergeCell ref="AG195:AG196"/>
    <mergeCell ref="AH195:AH196"/>
    <mergeCell ref="AI195:AI196"/>
    <mergeCell ref="AJ195:AJ196"/>
    <mergeCell ref="E195:E200"/>
    <mergeCell ref="U195:U196"/>
    <mergeCell ref="V195:V196"/>
    <mergeCell ref="W195:W196"/>
    <mergeCell ref="Y195:Y196"/>
    <mergeCell ref="Z195:Z196"/>
    <mergeCell ref="AA195:AA196"/>
    <mergeCell ref="AB195:AB196"/>
    <mergeCell ref="AC195:AC196"/>
    <mergeCell ref="AD195:AD196"/>
    <mergeCell ref="AG193:AG194"/>
    <mergeCell ref="AH193:AH194"/>
    <mergeCell ref="AI193:AI194"/>
    <mergeCell ref="AJ193:AJ194"/>
    <mergeCell ref="A195:A200"/>
    <mergeCell ref="B195:B200"/>
    <mergeCell ref="C195:C200"/>
    <mergeCell ref="D195:D200"/>
    <mergeCell ref="F195:F200"/>
    <mergeCell ref="G195:G200"/>
    <mergeCell ref="H195:H200"/>
    <mergeCell ref="I195:I200"/>
    <mergeCell ref="J195:J200"/>
    <mergeCell ref="K195:K200"/>
    <mergeCell ref="L195:L200"/>
    <mergeCell ref="M195:M200"/>
    <mergeCell ref="N195:N200"/>
    <mergeCell ref="O195:O196"/>
    <mergeCell ref="P195:P196"/>
    <mergeCell ref="Q195:Q196"/>
    <mergeCell ref="R195:R196"/>
    <mergeCell ref="S195:S196"/>
    <mergeCell ref="T195:T196"/>
    <mergeCell ref="X193:X194"/>
    <mergeCell ref="J193:J194"/>
    <mergeCell ref="K193:K194"/>
    <mergeCell ref="L193:L194"/>
    <mergeCell ref="M193:M194"/>
    <mergeCell ref="N193:N194"/>
    <mergeCell ref="O193:O194"/>
    <mergeCell ref="P193:P194"/>
    <mergeCell ref="Q193:Q194"/>
    <mergeCell ref="R193:W193"/>
    <mergeCell ref="A191:B191"/>
    <mergeCell ref="C191:N191"/>
    <mergeCell ref="A192:G192"/>
    <mergeCell ref="H192:N192"/>
    <mergeCell ref="O192:W192"/>
    <mergeCell ref="X192:AD192"/>
    <mergeCell ref="AE192:AJ192"/>
    <mergeCell ref="A193:A194"/>
    <mergeCell ref="B193:B194"/>
    <mergeCell ref="C193:C194"/>
    <mergeCell ref="D193:D194"/>
    <mergeCell ref="E193:E194"/>
    <mergeCell ref="F193:F194"/>
    <mergeCell ref="G193:G194"/>
    <mergeCell ref="H193:H194"/>
    <mergeCell ref="I193:I194"/>
    <mergeCell ref="Y193:Y194"/>
    <mergeCell ref="Z193:Z194"/>
    <mergeCell ref="AA193:AA194"/>
    <mergeCell ref="AB193:AB194"/>
    <mergeCell ref="AC193:AC194"/>
    <mergeCell ref="AD193:AD194"/>
    <mergeCell ref="AE193:AE194"/>
    <mergeCell ref="AF193:AF194"/>
    <mergeCell ref="AI180:AI181"/>
    <mergeCell ref="AJ180:AJ181"/>
    <mergeCell ref="Y178:Y179"/>
    <mergeCell ref="A186:AJ187"/>
    <mergeCell ref="A189:B189"/>
    <mergeCell ref="C189:N189"/>
    <mergeCell ref="O189:Q189"/>
    <mergeCell ref="A190:B190"/>
    <mergeCell ref="C190:N190"/>
    <mergeCell ref="J180:J185"/>
    <mergeCell ref="K180:K185"/>
    <mergeCell ref="L180:L185"/>
    <mergeCell ref="M180:M185"/>
    <mergeCell ref="N180:N185"/>
    <mergeCell ref="AE180:AE181"/>
    <mergeCell ref="AF180:AF181"/>
    <mergeCell ref="AG180:AG181"/>
    <mergeCell ref="AH180:AH181"/>
    <mergeCell ref="A180:A185"/>
    <mergeCell ref="B180:B185"/>
    <mergeCell ref="C180:C185"/>
    <mergeCell ref="D180:D185"/>
    <mergeCell ref="E180:E185"/>
    <mergeCell ref="F180:F185"/>
    <mergeCell ref="G180:G185"/>
    <mergeCell ref="H180:H185"/>
    <mergeCell ref="I180:I185"/>
    <mergeCell ref="AG178:AG179"/>
    <mergeCell ref="A177:G177"/>
    <mergeCell ref="H177:N177"/>
    <mergeCell ref="O177:W177"/>
    <mergeCell ref="X177:AD177"/>
    <mergeCell ref="AE177:AJ177"/>
    <mergeCell ref="A178:A179"/>
    <mergeCell ref="B178:B179"/>
    <mergeCell ref="C178:C179"/>
    <mergeCell ref="D178:D179"/>
    <mergeCell ref="E178:E179"/>
    <mergeCell ref="F178:F179"/>
    <mergeCell ref="G178:G179"/>
    <mergeCell ref="H178:H179"/>
    <mergeCell ref="I178:I179"/>
    <mergeCell ref="J178:J179"/>
    <mergeCell ref="K178:K179"/>
    <mergeCell ref="AH178:AH179"/>
    <mergeCell ref="AI178:AI179"/>
    <mergeCell ref="AJ178:AJ179"/>
    <mergeCell ref="L178:L179"/>
    <mergeCell ref="M178:M179"/>
    <mergeCell ref="N178:N179"/>
    <mergeCell ref="O178:O179"/>
    <mergeCell ref="P178:P179"/>
    <mergeCell ref="Q178:Q179"/>
    <mergeCell ref="R178:W178"/>
    <mergeCell ref="X178:X179"/>
    <mergeCell ref="AJ165:AJ166"/>
    <mergeCell ref="A171:AJ172"/>
    <mergeCell ref="A174:B174"/>
    <mergeCell ref="C174:N174"/>
    <mergeCell ref="O174:Q174"/>
    <mergeCell ref="A175:B175"/>
    <mergeCell ref="C175:N175"/>
    <mergeCell ref="A176:B176"/>
    <mergeCell ref="C176:N176"/>
    <mergeCell ref="Z178:Z179"/>
    <mergeCell ref="AA178:AA179"/>
    <mergeCell ref="AB178:AB179"/>
    <mergeCell ref="AC178:AC179"/>
    <mergeCell ref="AD178:AD179"/>
    <mergeCell ref="AE178:AE179"/>
    <mergeCell ref="AF178:AF179"/>
    <mergeCell ref="AF163:AF164"/>
    <mergeCell ref="AG163:AG164"/>
    <mergeCell ref="AH163:AH164"/>
    <mergeCell ref="AI163:AI164"/>
    <mergeCell ref="AJ163:AJ164"/>
    <mergeCell ref="A165:A170"/>
    <mergeCell ref="B165:B170"/>
    <mergeCell ref="C165:C170"/>
    <mergeCell ref="D165:D170"/>
    <mergeCell ref="E165:E170"/>
    <mergeCell ref="F165:F170"/>
    <mergeCell ref="G165:G170"/>
    <mergeCell ref="H165:H170"/>
    <mergeCell ref="I165:I170"/>
    <mergeCell ref="J165:J170"/>
    <mergeCell ref="K165:K170"/>
    <mergeCell ref="L165:L170"/>
    <mergeCell ref="M165:M170"/>
    <mergeCell ref="N165:N170"/>
    <mergeCell ref="AE165:AE166"/>
    <mergeCell ref="AF165:AF166"/>
    <mergeCell ref="AG165:AG166"/>
    <mergeCell ref="AH165:AH166"/>
    <mergeCell ref="AI165:AI166"/>
    <mergeCell ref="R163:W163"/>
    <mergeCell ref="X163:X164"/>
    <mergeCell ref="Y163:Y164"/>
    <mergeCell ref="Z163:Z164"/>
    <mergeCell ref="AA163:AA164"/>
    <mergeCell ref="AB163:AB164"/>
    <mergeCell ref="AC163:AC164"/>
    <mergeCell ref="AD163:AD164"/>
    <mergeCell ref="AE163:AE164"/>
    <mergeCell ref="A161:B161"/>
    <mergeCell ref="C161:N161"/>
    <mergeCell ref="A162:G162"/>
    <mergeCell ref="H162:N162"/>
    <mergeCell ref="O162:W162"/>
    <mergeCell ref="X162:AD162"/>
    <mergeCell ref="AE162:AJ162"/>
    <mergeCell ref="A163:A164"/>
    <mergeCell ref="B163:B164"/>
    <mergeCell ref="C163:C164"/>
    <mergeCell ref="D163:D164"/>
    <mergeCell ref="E163:E164"/>
    <mergeCell ref="F163:F164"/>
    <mergeCell ref="G163:G164"/>
    <mergeCell ref="H163:H164"/>
    <mergeCell ref="I163:I164"/>
    <mergeCell ref="J163:J164"/>
    <mergeCell ref="K163:K164"/>
    <mergeCell ref="L163:L164"/>
    <mergeCell ref="M163:M164"/>
    <mergeCell ref="N163:N164"/>
    <mergeCell ref="O163:O164"/>
    <mergeCell ref="P163:P164"/>
    <mergeCell ref="Q163:Q164"/>
    <mergeCell ref="AH150:AH155"/>
    <mergeCell ref="AI150:AI155"/>
    <mergeCell ref="AJ150:AJ155"/>
    <mergeCell ref="A156:AJ157"/>
    <mergeCell ref="A159:B159"/>
    <mergeCell ref="C159:N159"/>
    <mergeCell ref="O159:Q159"/>
    <mergeCell ref="A160:B160"/>
    <mergeCell ref="C160:N160"/>
    <mergeCell ref="P150:P155"/>
    <mergeCell ref="O150:O155"/>
    <mergeCell ref="Q150:Q155"/>
    <mergeCell ref="AE150:AE155"/>
    <mergeCell ref="R150:R155"/>
    <mergeCell ref="S150:S155"/>
    <mergeCell ref="T150:T155"/>
    <mergeCell ref="U150:U155"/>
    <mergeCell ref="V150:V155"/>
    <mergeCell ref="W150:W155"/>
    <mergeCell ref="Y150:Y155"/>
    <mergeCell ref="Z150:Z155"/>
    <mergeCell ref="AA150:AA155"/>
    <mergeCell ref="AB150:AB155"/>
    <mergeCell ref="AC150:AC155"/>
    <mergeCell ref="AD150:AD155"/>
    <mergeCell ref="AF150:AF155"/>
    <mergeCell ref="AG150:AG155"/>
    <mergeCell ref="AF148:AF149"/>
    <mergeCell ref="AG148:AG149"/>
    <mergeCell ref="AH148:AH149"/>
    <mergeCell ref="AI148:AI149"/>
    <mergeCell ref="AJ148:AJ149"/>
    <mergeCell ref="A150:A155"/>
    <mergeCell ref="B150:B155"/>
    <mergeCell ref="C150:C155"/>
    <mergeCell ref="D150:D155"/>
    <mergeCell ref="E150:E155"/>
    <mergeCell ref="F150:F155"/>
    <mergeCell ref="G150:G155"/>
    <mergeCell ref="H150:H155"/>
    <mergeCell ref="I150:I155"/>
    <mergeCell ref="J150:J155"/>
    <mergeCell ref="K150:K155"/>
    <mergeCell ref="L150:L155"/>
    <mergeCell ref="M150:M155"/>
    <mergeCell ref="N150:N155"/>
    <mergeCell ref="R148:W148"/>
    <mergeCell ref="X148:X149"/>
    <mergeCell ref="Y148:Y149"/>
    <mergeCell ref="Z148:Z149"/>
    <mergeCell ref="AA148:AA149"/>
    <mergeCell ref="AB148:AB149"/>
    <mergeCell ref="AC148:AC149"/>
    <mergeCell ref="AD148:AD149"/>
    <mergeCell ref="AE148:AE149"/>
    <mergeCell ref="A146:B146"/>
    <mergeCell ref="C146:N146"/>
    <mergeCell ref="A147:G147"/>
    <mergeCell ref="H147:N147"/>
    <mergeCell ref="O147:W147"/>
    <mergeCell ref="X147:AD147"/>
    <mergeCell ref="AE147:AJ147"/>
    <mergeCell ref="A148:A149"/>
    <mergeCell ref="B148:B149"/>
    <mergeCell ref="C148:C149"/>
    <mergeCell ref="D148:D149"/>
    <mergeCell ref="E148:E149"/>
    <mergeCell ref="F148:F149"/>
    <mergeCell ref="G148:G149"/>
    <mergeCell ref="H148:H149"/>
    <mergeCell ref="I148:I149"/>
    <mergeCell ref="J148:J149"/>
    <mergeCell ref="K148:K149"/>
    <mergeCell ref="L148:L149"/>
    <mergeCell ref="M148:M149"/>
    <mergeCell ref="N148:N149"/>
    <mergeCell ref="O148:O149"/>
    <mergeCell ref="P148:P149"/>
    <mergeCell ref="Q148:Q149"/>
    <mergeCell ref="AI80:AI85"/>
    <mergeCell ref="AJ80:AJ85"/>
    <mergeCell ref="O80:O85"/>
    <mergeCell ref="A141:AJ142"/>
    <mergeCell ref="A144:B144"/>
    <mergeCell ref="C144:N144"/>
    <mergeCell ref="O144:Q144"/>
    <mergeCell ref="A145:B145"/>
    <mergeCell ref="C145:N145"/>
    <mergeCell ref="J134:J139"/>
    <mergeCell ref="K134:K139"/>
    <mergeCell ref="L134:L139"/>
    <mergeCell ref="M134:M139"/>
    <mergeCell ref="N134:N139"/>
    <mergeCell ref="B140:AJ140"/>
    <mergeCell ref="P80:P85"/>
    <mergeCell ref="Q80:Q85"/>
    <mergeCell ref="R80:R85"/>
    <mergeCell ref="S80:S85"/>
    <mergeCell ref="T80:T85"/>
    <mergeCell ref="U80:U85"/>
    <mergeCell ref="V80:V85"/>
    <mergeCell ref="W80:W85"/>
    <mergeCell ref="Y80:Y85"/>
    <mergeCell ref="Z80:Z85"/>
    <mergeCell ref="AA80:AA85"/>
    <mergeCell ref="AB80:AB85"/>
    <mergeCell ref="AC80:AC85"/>
    <mergeCell ref="AD80:AD85"/>
    <mergeCell ref="AE80:AE85"/>
    <mergeCell ref="AF80:AF85"/>
    <mergeCell ref="AG80:AG85"/>
    <mergeCell ref="AH80:AH85"/>
    <mergeCell ref="A134:A139"/>
    <mergeCell ref="B134:B139"/>
    <mergeCell ref="C134:C139"/>
    <mergeCell ref="D134:D139"/>
    <mergeCell ref="E134:E139"/>
    <mergeCell ref="F134:F139"/>
    <mergeCell ref="G134:G139"/>
    <mergeCell ref="H134:H139"/>
    <mergeCell ref="I134:I139"/>
    <mergeCell ref="J122:J127"/>
    <mergeCell ref="K122:K127"/>
    <mergeCell ref="L122:L127"/>
    <mergeCell ref="M122:M127"/>
    <mergeCell ref="N122:N127"/>
    <mergeCell ref="A128:A133"/>
    <mergeCell ref="B128:B133"/>
    <mergeCell ref="C128:C133"/>
    <mergeCell ref="M128:M133"/>
    <mergeCell ref="N128:N133"/>
    <mergeCell ref="A122:A127"/>
    <mergeCell ref="B122:B127"/>
    <mergeCell ref="C122:C127"/>
    <mergeCell ref="D122:D127"/>
    <mergeCell ref="E122:E127"/>
    <mergeCell ref="F122:F127"/>
    <mergeCell ref="G122:G127"/>
    <mergeCell ref="H122:H127"/>
    <mergeCell ref="I122:I127"/>
    <mergeCell ref="D128:D133"/>
    <mergeCell ref="E128:E133"/>
    <mergeCell ref="F128:F133"/>
    <mergeCell ref="G128:G133"/>
    <mergeCell ref="H128:H133"/>
    <mergeCell ref="I128:I133"/>
    <mergeCell ref="J128:J133"/>
    <mergeCell ref="K128:K133"/>
    <mergeCell ref="L128:L133"/>
    <mergeCell ref="J116:J121"/>
    <mergeCell ref="K116:K121"/>
    <mergeCell ref="L116:L121"/>
    <mergeCell ref="M116:M121"/>
    <mergeCell ref="N116:N121"/>
    <mergeCell ref="A110:A115"/>
    <mergeCell ref="B110:B115"/>
    <mergeCell ref="C110:C115"/>
    <mergeCell ref="D110:D115"/>
    <mergeCell ref="E110:E115"/>
    <mergeCell ref="A116:A121"/>
    <mergeCell ref="B116:B121"/>
    <mergeCell ref="C116:C121"/>
    <mergeCell ref="D116:D121"/>
    <mergeCell ref="E116:E121"/>
    <mergeCell ref="F116:F121"/>
    <mergeCell ref="G116:G121"/>
    <mergeCell ref="H116:H121"/>
    <mergeCell ref="I116:I121"/>
    <mergeCell ref="F110:F115"/>
    <mergeCell ref="G110:G115"/>
    <mergeCell ref="H110:H115"/>
    <mergeCell ref="I110:I115"/>
    <mergeCell ref="J110:J115"/>
    <mergeCell ref="J98:J103"/>
    <mergeCell ref="K98:K103"/>
    <mergeCell ref="L98:L103"/>
    <mergeCell ref="M98:M103"/>
    <mergeCell ref="N98:N103"/>
    <mergeCell ref="J104:J109"/>
    <mergeCell ref="K104:K109"/>
    <mergeCell ref="L104:L109"/>
    <mergeCell ref="M104:M109"/>
    <mergeCell ref="N104:N109"/>
    <mergeCell ref="K110:K115"/>
    <mergeCell ref="L110:L115"/>
    <mergeCell ref="M110:M115"/>
    <mergeCell ref="N110:N115"/>
    <mergeCell ref="A104:A109"/>
    <mergeCell ref="B104:B109"/>
    <mergeCell ref="C104:C109"/>
    <mergeCell ref="D104:D109"/>
    <mergeCell ref="E104:E109"/>
    <mergeCell ref="F104:F109"/>
    <mergeCell ref="G104:G109"/>
    <mergeCell ref="H104:H109"/>
    <mergeCell ref="I104:I109"/>
    <mergeCell ref="A98:A103"/>
    <mergeCell ref="B98:B103"/>
    <mergeCell ref="C98:C103"/>
    <mergeCell ref="D98:D103"/>
    <mergeCell ref="E98:E103"/>
    <mergeCell ref="F98:F103"/>
    <mergeCell ref="G98:G103"/>
    <mergeCell ref="H98:H103"/>
    <mergeCell ref="I98:I103"/>
    <mergeCell ref="AC86:AC87"/>
    <mergeCell ref="AD86:AD87"/>
    <mergeCell ref="AE86:AE87"/>
    <mergeCell ref="AF86:AF87"/>
    <mergeCell ref="AG86:AG87"/>
    <mergeCell ref="AH86:AH87"/>
    <mergeCell ref="AI86:AI87"/>
    <mergeCell ref="AJ86:AJ87"/>
    <mergeCell ref="A92:A97"/>
    <mergeCell ref="B92:B97"/>
    <mergeCell ref="C92:C97"/>
    <mergeCell ref="D92:D97"/>
    <mergeCell ref="E92:E97"/>
    <mergeCell ref="F92:F97"/>
    <mergeCell ref="G92:G97"/>
    <mergeCell ref="H92:H97"/>
    <mergeCell ref="I92:I97"/>
    <mergeCell ref="J92:J97"/>
    <mergeCell ref="K92:K97"/>
    <mergeCell ref="L92:L97"/>
    <mergeCell ref="M92:M97"/>
    <mergeCell ref="N92:N97"/>
    <mergeCell ref="S86:S87"/>
    <mergeCell ref="T86:T87"/>
    <mergeCell ref="U86:U87"/>
    <mergeCell ref="V86:V87"/>
    <mergeCell ref="W86:W87"/>
    <mergeCell ref="Y86:Y87"/>
    <mergeCell ref="Z86:Z87"/>
    <mergeCell ref="AA86:AA87"/>
    <mergeCell ref="AB86:AB87"/>
    <mergeCell ref="A86:A91"/>
    <mergeCell ref="B86:B91"/>
    <mergeCell ref="C86:C91"/>
    <mergeCell ref="D86:D91"/>
    <mergeCell ref="E86:E91"/>
    <mergeCell ref="F86:F91"/>
    <mergeCell ref="G86:G91"/>
    <mergeCell ref="H86:H91"/>
    <mergeCell ref="I86:I91"/>
    <mergeCell ref="J86:J91"/>
    <mergeCell ref="K86:K91"/>
    <mergeCell ref="L86:L91"/>
    <mergeCell ref="M86:M91"/>
    <mergeCell ref="N86:N91"/>
    <mergeCell ref="O86:O87"/>
    <mergeCell ref="P86:P87"/>
    <mergeCell ref="Q86:Q87"/>
    <mergeCell ref="R86:R87"/>
    <mergeCell ref="AG78:AG79"/>
    <mergeCell ref="AH78:AH79"/>
    <mergeCell ref="AI78:AI79"/>
    <mergeCell ref="AJ78:AJ79"/>
    <mergeCell ref="A80:A85"/>
    <mergeCell ref="B80:B85"/>
    <mergeCell ref="C80:C85"/>
    <mergeCell ref="D80:D85"/>
    <mergeCell ref="E80:E85"/>
    <mergeCell ref="F80:F85"/>
    <mergeCell ref="G80:G85"/>
    <mergeCell ref="H80:H85"/>
    <mergeCell ref="I80:I85"/>
    <mergeCell ref="J80:J85"/>
    <mergeCell ref="K80:K85"/>
    <mergeCell ref="L80:L85"/>
    <mergeCell ref="M80:M85"/>
    <mergeCell ref="N80:N85"/>
    <mergeCell ref="X78:X79"/>
    <mergeCell ref="Y78:Y79"/>
    <mergeCell ref="Z78:Z79"/>
    <mergeCell ref="AA78:AA79"/>
    <mergeCell ref="AB78:AB79"/>
    <mergeCell ref="AC78:AC79"/>
    <mergeCell ref="AD78:AD79"/>
    <mergeCell ref="AE78:AE79"/>
    <mergeCell ref="AF78:AF79"/>
    <mergeCell ref="J78:J79"/>
    <mergeCell ref="K78:K79"/>
    <mergeCell ref="L78:L79"/>
    <mergeCell ref="M78:M79"/>
    <mergeCell ref="N78:N79"/>
    <mergeCell ref="O78:O79"/>
    <mergeCell ref="P78:P79"/>
    <mergeCell ref="Q78:Q79"/>
    <mergeCell ref="R78:W78"/>
    <mergeCell ref="A78:A79"/>
    <mergeCell ref="B78:B79"/>
    <mergeCell ref="C78:C79"/>
    <mergeCell ref="D78:D79"/>
    <mergeCell ref="E78:E79"/>
    <mergeCell ref="F78:F79"/>
    <mergeCell ref="G78:G79"/>
    <mergeCell ref="H78:H79"/>
    <mergeCell ref="I78:I79"/>
    <mergeCell ref="A71:AJ72"/>
    <mergeCell ref="A74:B74"/>
    <mergeCell ref="C74:N74"/>
    <mergeCell ref="O74:Q74"/>
    <mergeCell ref="A75:B75"/>
    <mergeCell ref="C75:N75"/>
    <mergeCell ref="A76:B76"/>
    <mergeCell ref="C76:N76"/>
    <mergeCell ref="A77:G77"/>
    <mergeCell ref="H77:N77"/>
    <mergeCell ref="O77:W77"/>
    <mergeCell ref="X77:AD77"/>
    <mergeCell ref="AE77:AJ77"/>
    <mergeCell ref="O10:O11"/>
    <mergeCell ref="O16:O17"/>
    <mergeCell ref="AE16:AE17"/>
    <mergeCell ref="AF16:AF17"/>
    <mergeCell ref="AG16:AG17"/>
    <mergeCell ref="AH16:AH17"/>
    <mergeCell ref="AI16:AI17"/>
    <mergeCell ref="AJ16:AJ17"/>
    <mergeCell ref="AE10:AE11"/>
    <mergeCell ref="AF10:AF11"/>
    <mergeCell ref="AG10:AG11"/>
    <mergeCell ref="AH10:AH11"/>
    <mergeCell ref="AI10:AI11"/>
    <mergeCell ref="AJ10:AJ11"/>
    <mergeCell ref="Z10:Z11"/>
    <mergeCell ref="AA10:AA11"/>
    <mergeCell ref="AB10:AB11"/>
    <mergeCell ref="AC10:AC11"/>
    <mergeCell ref="AD10:AD11"/>
    <mergeCell ref="P16:P17"/>
    <mergeCell ref="Q16:Q17"/>
    <mergeCell ref="R16:R17"/>
    <mergeCell ref="S16:S17"/>
    <mergeCell ref="T16:T17"/>
    <mergeCell ref="U16:U17"/>
    <mergeCell ref="V16:V17"/>
    <mergeCell ref="W16:W17"/>
    <mergeCell ref="Y16:Y17"/>
    <mergeCell ref="Z16:Z17"/>
    <mergeCell ref="AA16:AA17"/>
    <mergeCell ref="AB16:AB17"/>
    <mergeCell ref="AC16:AC17"/>
    <mergeCell ref="AD16:AD17"/>
    <mergeCell ref="P10:P11"/>
    <mergeCell ref="Q10:Q11"/>
    <mergeCell ref="R10:R11"/>
    <mergeCell ref="S10:S11"/>
    <mergeCell ref="T10:T11"/>
    <mergeCell ref="U10:U11"/>
    <mergeCell ref="V10:V11"/>
    <mergeCell ref="W10:W11"/>
    <mergeCell ref="Y10:Y11"/>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690" priority="775" operator="equal">
      <formula>"Muy Alta"</formula>
    </cfRule>
    <cfRule type="cellIs" dxfId="689" priority="776" operator="equal">
      <formula>"Alta"</formula>
    </cfRule>
    <cfRule type="cellIs" dxfId="688" priority="777" operator="equal">
      <formula>"Media"</formula>
    </cfRule>
    <cfRule type="cellIs" dxfId="687" priority="778" operator="equal">
      <formula>"Baja"</formula>
    </cfRule>
    <cfRule type="cellIs" dxfId="686" priority="779" operator="equal">
      <formula>"Muy Baja"</formula>
    </cfRule>
  </conditionalFormatting>
  <conditionalFormatting sqref="L10 L16 L22 L28 L34 L40 L46 L52 L58 L64">
    <cfRule type="cellIs" dxfId="685" priority="770" operator="equal">
      <formula>"Catastrófico"</formula>
    </cfRule>
    <cfRule type="cellIs" dxfId="684" priority="771" operator="equal">
      <formula>"Mayor"</formula>
    </cfRule>
    <cfRule type="cellIs" dxfId="683" priority="772" operator="equal">
      <formula>"Moderado"</formula>
    </cfRule>
    <cfRule type="cellIs" dxfId="682" priority="773" operator="equal">
      <formula>"Menor"</formula>
    </cfRule>
    <cfRule type="cellIs" dxfId="681" priority="774" operator="equal">
      <formula>"Leve"</formula>
    </cfRule>
  </conditionalFormatting>
  <conditionalFormatting sqref="N10">
    <cfRule type="cellIs" dxfId="680" priority="766" operator="equal">
      <formula>"Extremo"</formula>
    </cfRule>
    <cfRule type="cellIs" dxfId="679" priority="767" operator="equal">
      <formula>"Alto"</formula>
    </cfRule>
    <cfRule type="cellIs" dxfId="678" priority="768" operator="equal">
      <formula>"Moderado"</formula>
    </cfRule>
    <cfRule type="cellIs" dxfId="677" priority="769" operator="equal">
      <formula>"Bajo"</formula>
    </cfRule>
  </conditionalFormatting>
  <conditionalFormatting sqref="Y10 Y12:Y15">
    <cfRule type="cellIs" dxfId="676" priority="761" operator="equal">
      <formula>"Muy Alta"</formula>
    </cfRule>
    <cfRule type="cellIs" dxfId="675" priority="762" operator="equal">
      <formula>"Alta"</formula>
    </cfRule>
    <cfRule type="cellIs" dxfId="674" priority="763" operator="equal">
      <formula>"Media"</formula>
    </cfRule>
    <cfRule type="cellIs" dxfId="673" priority="764" operator="equal">
      <formula>"Baja"</formula>
    </cfRule>
    <cfRule type="cellIs" dxfId="672" priority="765" operator="equal">
      <formula>"Muy Baja"</formula>
    </cfRule>
  </conditionalFormatting>
  <conditionalFormatting sqref="AA10 AA12:AA15">
    <cfRule type="cellIs" dxfId="671" priority="756" operator="equal">
      <formula>"Catastrófico"</formula>
    </cfRule>
    <cfRule type="cellIs" dxfId="670" priority="757" operator="equal">
      <formula>"Mayor"</formula>
    </cfRule>
    <cfRule type="cellIs" dxfId="669" priority="758" operator="equal">
      <formula>"Moderado"</formula>
    </cfRule>
    <cfRule type="cellIs" dxfId="668" priority="759" operator="equal">
      <formula>"Menor"</formula>
    </cfRule>
    <cfRule type="cellIs" dxfId="667" priority="760" operator="equal">
      <formula>"Leve"</formula>
    </cfRule>
  </conditionalFormatting>
  <conditionalFormatting sqref="AC10 AC12:AC15">
    <cfRule type="cellIs" dxfId="666" priority="752" operator="equal">
      <formula>"Extremo"</formula>
    </cfRule>
    <cfRule type="cellIs" dxfId="665" priority="753" operator="equal">
      <formula>"Alto"</formula>
    </cfRule>
    <cfRule type="cellIs" dxfId="664" priority="754" operator="equal">
      <formula>"Moderado"</formula>
    </cfRule>
    <cfRule type="cellIs" dxfId="663" priority="755" operator="equal">
      <formula>"Bajo"</formula>
    </cfRule>
  </conditionalFormatting>
  <conditionalFormatting sqref="H58">
    <cfRule type="cellIs" dxfId="662" priority="509" operator="equal">
      <formula>"Muy Alta"</formula>
    </cfRule>
    <cfRule type="cellIs" dxfId="661" priority="510" operator="equal">
      <formula>"Alta"</formula>
    </cfRule>
    <cfRule type="cellIs" dxfId="660" priority="511" operator="equal">
      <formula>"Media"</formula>
    </cfRule>
    <cfRule type="cellIs" dxfId="659" priority="512" operator="equal">
      <formula>"Baja"</formula>
    </cfRule>
    <cfRule type="cellIs" dxfId="658" priority="513" operator="equal">
      <formula>"Muy Baja"</formula>
    </cfRule>
  </conditionalFormatting>
  <conditionalFormatting sqref="N16">
    <cfRule type="cellIs" dxfId="657" priority="696" operator="equal">
      <formula>"Extremo"</formula>
    </cfRule>
    <cfRule type="cellIs" dxfId="656" priority="697" operator="equal">
      <formula>"Alto"</formula>
    </cfRule>
    <cfRule type="cellIs" dxfId="655" priority="698" operator="equal">
      <formula>"Moderado"</formula>
    </cfRule>
    <cfRule type="cellIs" dxfId="654" priority="699" operator="equal">
      <formula>"Bajo"</formula>
    </cfRule>
  </conditionalFormatting>
  <conditionalFormatting sqref="Y18:Y21">
    <cfRule type="cellIs" dxfId="653" priority="691" operator="equal">
      <formula>"Muy Alta"</formula>
    </cfRule>
    <cfRule type="cellIs" dxfId="652" priority="692" operator="equal">
      <formula>"Alta"</formula>
    </cfRule>
    <cfRule type="cellIs" dxfId="651" priority="693" operator="equal">
      <formula>"Media"</formula>
    </cfRule>
    <cfRule type="cellIs" dxfId="650" priority="694" operator="equal">
      <formula>"Baja"</formula>
    </cfRule>
    <cfRule type="cellIs" dxfId="649" priority="695" operator="equal">
      <formula>"Muy Baja"</formula>
    </cfRule>
  </conditionalFormatting>
  <conditionalFormatting sqref="AA16 AA18:AA21">
    <cfRule type="cellIs" dxfId="648" priority="686" operator="equal">
      <formula>"Catastrófico"</formula>
    </cfRule>
    <cfRule type="cellIs" dxfId="647" priority="687" operator="equal">
      <formula>"Mayor"</formula>
    </cfRule>
    <cfRule type="cellIs" dxfId="646" priority="688" operator="equal">
      <formula>"Moderado"</formula>
    </cfRule>
    <cfRule type="cellIs" dxfId="645" priority="689" operator="equal">
      <formula>"Menor"</formula>
    </cfRule>
    <cfRule type="cellIs" dxfId="644" priority="690" operator="equal">
      <formula>"Leve"</formula>
    </cfRule>
  </conditionalFormatting>
  <conditionalFormatting sqref="AC16 AC18:AC21">
    <cfRule type="cellIs" dxfId="643" priority="682" operator="equal">
      <formula>"Extremo"</formula>
    </cfRule>
    <cfRule type="cellIs" dxfId="642" priority="683" operator="equal">
      <formula>"Alto"</formula>
    </cfRule>
    <cfRule type="cellIs" dxfId="641" priority="684" operator="equal">
      <formula>"Moderado"</formula>
    </cfRule>
    <cfRule type="cellIs" dxfId="640" priority="685" operator="equal">
      <formula>"Bajo"</formula>
    </cfRule>
  </conditionalFormatting>
  <conditionalFormatting sqref="H22">
    <cfRule type="cellIs" dxfId="639" priority="677" operator="equal">
      <formula>"Muy Alta"</formula>
    </cfRule>
    <cfRule type="cellIs" dxfId="638" priority="678" operator="equal">
      <formula>"Alta"</formula>
    </cfRule>
    <cfRule type="cellIs" dxfId="637" priority="679" operator="equal">
      <formula>"Media"</formula>
    </cfRule>
    <cfRule type="cellIs" dxfId="636" priority="680" operator="equal">
      <formula>"Baja"</formula>
    </cfRule>
    <cfRule type="cellIs" dxfId="635" priority="681" operator="equal">
      <formula>"Muy Baja"</formula>
    </cfRule>
  </conditionalFormatting>
  <conditionalFormatting sqref="N22">
    <cfRule type="cellIs" dxfId="634" priority="668" operator="equal">
      <formula>"Extremo"</formula>
    </cfRule>
    <cfRule type="cellIs" dxfId="633" priority="669" operator="equal">
      <formula>"Alto"</formula>
    </cfRule>
    <cfRule type="cellIs" dxfId="632" priority="670" operator="equal">
      <formula>"Moderado"</formula>
    </cfRule>
    <cfRule type="cellIs" dxfId="631" priority="671" operator="equal">
      <formula>"Bajo"</formula>
    </cfRule>
  </conditionalFormatting>
  <conditionalFormatting sqref="Y22:Y27">
    <cfRule type="cellIs" dxfId="630" priority="663" operator="equal">
      <formula>"Muy Alta"</formula>
    </cfRule>
    <cfRule type="cellIs" dxfId="629" priority="664" operator="equal">
      <formula>"Alta"</formula>
    </cfRule>
    <cfRule type="cellIs" dxfId="628" priority="665" operator="equal">
      <formula>"Media"</formula>
    </cfRule>
    <cfRule type="cellIs" dxfId="627" priority="666" operator="equal">
      <formula>"Baja"</formula>
    </cfRule>
    <cfRule type="cellIs" dxfId="626" priority="667" operator="equal">
      <formula>"Muy Baja"</formula>
    </cfRule>
  </conditionalFormatting>
  <conditionalFormatting sqref="AA22:AA27">
    <cfRule type="cellIs" dxfId="625" priority="658" operator="equal">
      <formula>"Catastrófico"</formula>
    </cfRule>
    <cfRule type="cellIs" dxfId="624" priority="659" operator="equal">
      <formula>"Mayor"</formula>
    </cfRule>
    <cfRule type="cellIs" dxfId="623" priority="660" operator="equal">
      <formula>"Moderado"</formula>
    </cfRule>
    <cfRule type="cellIs" dxfId="622" priority="661" operator="equal">
      <formula>"Menor"</formula>
    </cfRule>
    <cfRule type="cellIs" dxfId="621" priority="662" operator="equal">
      <formula>"Leve"</formula>
    </cfRule>
  </conditionalFormatting>
  <conditionalFormatting sqref="AC22:AC27">
    <cfRule type="cellIs" dxfId="620" priority="654" operator="equal">
      <formula>"Extremo"</formula>
    </cfRule>
    <cfRule type="cellIs" dxfId="619" priority="655" operator="equal">
      <formula>"Alto"</formula>
    </cfRule>
    <cfRule type="cellIs" dxfId="618" priority="656" operator="equal">
      <formula>"Moderado"</formula>
    </cfRule>
    <cfRule type="cellIs" dxfId="617" priority="657" operator="equal">
      <formula>"Bajo"</formula>
    </cfRule>
  </conditionalFormatting>
  <conditionalFormatting sqref="H28">
    <cfRule type="cellIs" dxfId="616" priority="649" operator="equal">
      <formula>"Muy Alta"</formula>
    </cfRule>
    <cfRule type="cellIs" dxfId="615" priority="650" operator="equal">
      <formula>"Alta"</formula>
    </cfRule>
    <cfRule type="cellIs" dxfId="614" priority="651" operator="equal">
      <formula>"Media"</formula>
    </cfRule>
    <cfRule type="cellIs" dxfId="613" priority="652" operator="equal">
      <formula>"Baja"</formula>
    </cfRule>
    <cfRule type="cellIs" dxfId="612" priority="653" operator="equal">
      <formula>"Muy Baja"</formula>
    </cfRule>
  </conditionalFormatting>
  <conditionalFormatting sqref="N28">
    <cfRule type="cellIs" dxfId="611" priority="640" operator="equal">
      <formula>"Extremo"</formula>
    </cfRule>
    <cfRule type="cellIs" dxfId="610" priority="641" operator="equal">
      <formula>"Alto"</formula>
    </cfRule>
    <cfRule type="cellIs" dxfId="609" priority="642" operator="equal">
      <formula>"Moderado"</formula>
    </cfRule>
    <cfRule type="cellIs" dxfId="608" priority="643" operator="equal">
      <formula>"Bajo"</formula>
    </cfRule>
  </conditionalFormatting>
  <conditionalFormatting sqref="Y28:Y33">
    <cfRule type="cellIs" dxfId="607" priority="635" operator="equal">
      <formula>"Muy Alta"</formula>
    </cfRule>
    <cfRule type="cellIs" dxfId="606" priority="636" operator="equal">
      <formula>"Alta"</formula>
    </cfRule>
    <cfRule type="cellIs" dxfId="605" priority="637" operator="equal">
      <formula>"Media"</formula>
    </cfRule>
    <cfRule type="cellIs" dxfId="604" priority="638" operator="equal">
      <formula>"Baja"</formula>
    </cfRule>
    <cfRule type="cellIs" dxfId="603" priority="639" operator="equal">
      <formula>"Muy Baja"</formula>
    </cfRule>
  </conditionalFormatting>
  <conditionalFormatting sqref="AA28:AA33">
    <cfRule type="cellIs" dxfId="602" priority="630" operator="equal">
      <formula>"Catastrófico"</formula>
    </cfRule>
    <cfRule type="cellIs" dxfId="601" priority="631" operator="equal">
      <formula>"Mayor"</formula>
    </cfRule>
    <cfRule type="cellIs" dxfId="600" priority="632" operator="equal">
      <formula>"Moderado"</formula>
    </cfRule>
    <cfRule type="cellIs" dxfId="599" priority="633" operator="equal">
      <formula>"Menor"</formula>
    </cfRule>
    <cfRule type="cellIs" dxfId="598" priority="634" operator="equal">
      <formula>"Leve"</formula>
    </cfRule>
  </conditionalFormatting>
  <conditionalFormatting sqref="AC28:AC33">
    <cfRule type="cellIs" dxfId="597" priority="626" operator="equal">
      <formula>"Extremo"</formula>
    </cfRule>
    <cfRule type="cellIs" dxfId="596" priority="627" operator="equal">
      <formula>"Alto"</formula>
    </cfRule>
    <cfRule type="cellIs" dxfId="595" priority="628" operator="equal">
      <formula>"Moderado"</formula>
    </cfRule>
    <cfRule type="cellIs" dxfId="594" priority="629" operator="equal">
      <formula>"Bajo"</formula>
    </cfRule>
  </conditionalFormatting>
  <conditionalFormatting sqref="H34">
    <cfRule type="cellIs" dxfId="593" priority="621" operator="equal">
      <formula>"Muy Alta"</formula>
    </cfRule>
    <cfRule type="cellIs" dxfId="592" priority="622" operator="equal">
      <formula>"Alta"</formula>
    </cfRule>
    <cfRule type="cellIs" dxfId="591" priority="623" operator="equal">
      <formula>"Media"</formula>
    </cfRule>
    <cfRule type="cellIs" dxfId="590" priority="624" operator="equal">
      <formula>"Baja"</formula>
    </cfRule>
    <cfRule type="cellIs" dxfId="589" priority="625" operator="equal">
      <formula>"Muy Baja"</formula>
    </cfRule>
  </conditionalFormatting>
  <conditionalFormatting sqref="N34">
    <cfRule type="cellIs" dxfId="588" priority="612" operator="equal">
      <formula>"Extremo"</formula>
    </cfRule>
    <cfRule type="cellIs" dxfId="587" priority="613" operator="equal">
      <formula>"Alto"</formula>
    </cfRule>
    <cfRule type="cellIs" dxfId="586" priority="614" operator="equal">
      <formula>"Moderado"</formula>
    </cfRule>
    <cfRule type="cellIs" dxfId="585" priority="615" operator="equal">
      <formula>"Bajo"</formula>
    </cfRule>
  </conditionalFormatting>
  <conditionalFormatting sqref="Y34:Y39">
    <cfRule type="cellIs" dxfId="584" priority="607" operator="equal">
      <formula>"Muy Alta"</formula>
    </cfRule>
    <cfRule type="cellIs" dxfId="583" priority="608" operator="equal">
      <formula>"Alta"</formula>
    </cfRule>
    <cfRule type="cellIs" dxfId="582" priority="609" operator="equal">
      <formula>"Media"</formula>
    </cfRule>
    <cfRule type="cellIs" dxfId="581" priority="610" operator="equal">
      <formula>"Baja"</formula>
    </cfRule>
    <cfRule type="cellIs" dxfId="580" priority="611" operator="equal">
      <formula>"Muy Baja"</formula>
    </cfRule>
  </conditionalFormatting>
  <conditionalFormatting sqref="AA34:AA39">
    <cfRule type="cellIs" dxfId="579" priority="602" operator="equal">
      <formula>"Catastrófico"</formula>
    </cfRule>
    <cfRule type="cellIs" dxfId="578" priority="603" operator="equal">
      <formula>"Mayor"</formula>
    </cfRule>
    <cfRule type="cellIs" dxfId="577" priority="604" operator="equal">
      <formula>"Moderado"</formula>
    </cfRule>
    <cfRule type="cellIs" dxfId="576" priority="605" operator="equal">
      <formula>"Menor"</formula>
    </cfRule>
    <cfRule type="cellIs" dxfId="575" priority="606" operator="equal">
      <formula>"Leve"</formula>
    </cfRule>
  </conditionalFormatting>
  <conditionalFormatting sqref="AC34:AC39">
    <cfRule type="cellIs" dxfId="574" priority="598" operator="equal">
      <formula>"Extremo"</formula>
    </cfRule>
    <cfRule type="cellIs" dxfId="573" priority="599" operator="equal">
      <formula>"Alto"</formula>
    </cfRule>
    <cfRule type="cellIs" dxfId="572" priority="600" operator="equal">
      <formula>"Moderado"</formula>
    </cfRule>
    <cfRule type="cellIs" dxfId="571" priority="601" operator="equal">
      <formula>"Bajo"</formula>
    </cfRule>
  </conditionalFormatting>
  <conditionalFormatting sqref="H40">
    <cfRule type="cellIs" dxfId="570" priority="593" operator="equal">
      <formula>"Muy Alta"</formula>
    </cfRule>
    <cfRule type="cellIs" dxfId="569" priority="594" operator="equal">
      <formula>"Alta"</formula>
    </cfRule>
    <cfRule type="cellIs" dxfId="568" priority="595" operator="equal">
      <formula>"Media"</formula>
    </cfRule>
    <cfRule type="cellIs" dxfId="567" priority="596" operator="equal">
      <formula>"Baja"</formula>
    </cfRule>
    <cfRule type="cellIs" dxfId="566" priority="597" operator="equal">
      <formula>"Muy Baja"</formula>
    </cfRule>
  </conditionalFormatting>
  <conditionalFormatting sqref="N40">
    <cfRule type="cellIs" dxfId="565" priority="584" operator="equal">
      <formula>"Extremo"</formula>
    </cfRule>
    <cfRule type="cellIs" dxfId="564" priority="585" operator="equal">
      <formula>"Alto"</formula>
    </cfRule>
    <cfRule type="cellIs" dxfId="563" priority="586" operator="equal">
      <formula>"Moderado"</formula>
    </cfRule>
    <cfRule type="cellIs" dxfId="562" priority="587" operator="equal">
      <formula>"Bajo"</formula>
    </cfRule>
  </conditionalFormatting>
  <conditionalFormatting sqref="Y40:Y45">
    <cfRule type="cellIs" dxfId="561" priority="579" operator="equal">
      <formula>"Muy Alta"</formula>
    </cfRule>
    <cfRule type="cellIs" dxfId="560" priority="580" operator="equal">
      <formula>"Alta"</formula>
    </cfRule>
    <cfRule type="cellIs" dxfId="559" priority="581" operator="equal">
      <formula>"Media"</formula>
    </cfRule>
    <cfRule type="cellIs" dxfId="558" priority="582" operator="equal">
      <formula>"Baja"</formula>
    </cfRule>
    <cfRule type="cellIs" dxfId="557" priority="583" operator="equal">
      <formula>"Muy Baja"</formula>
    </cfRule>
  </conditionalFormatting>
  <conditionalFormatting sqref="AA40:AA45">
    <cfRule type="cellIs" dxfId="556" priority="574" operator="equal">
      <formula>"Catastrófico"</formula>
    </cfRule>
    <cfRule type="cellIs" dxfId="555" priority="575" operator="equal">
      <formula>"Mayor"</formula>
    </cfRule>
    <cfRule type="cellIs" dxfId="554" priority="576" operator="equal">
      <formula>"Moderado"</formula>
    </cfRule>
    <cfRule type="cellIs" dxfId="553" priority="577" operator="equal">
      <formula>"Menor"</formula>
    </cfRule>
    <cfRule type="cellIs" dxfId="552" priority="578" operator="equal">
      <formula>"Leve"</formula>
    </cfRule>
  </conditionalFormatting>
  <conditionalFormatting sqref="AC40:AC45">
    <cfRule type="cellIs" dxfId="551" priority="570" operator="equal">
      <formula>"Extremo"</formula>
    </cfRule>
    <cfRule type="cellIs" dxfId="550" priority="571" operator="equal">
      <formula>"Alto"</formula>
    </cfRule>
    <cfRule type="cellIs" dxfId="549" priority="572" operator="equal">
      <formula>"Moderado"</formula>
    </cfRule>
    <cfRule type="cellIs" dxfId="548" priority="573" operator="equal">
      <formula>"Bajo"</formula>
    </cfRule>
  </conditionalFormatting>
  <conditionalFormatting sqref="H46">
    <cfRule type="cellIs" dxfId="547" priority="565" operator="equal">
      <formula>"Muy Alta"</formula>
    </cfRule>
    <cfRule type="cellIs" dxfId="546" priority="566" operator="equal">
      <formula>"Alta"</formula>
    </cfRule>
    <cfRule type="cellIs" dxfId="545" priority="567" operator="equal">
      <formula>"Media"</formula>
    </cfRule>
    <cfRule type="cellIs" dxfId="544" priority="568" operator="equal">
      <formula>"Baja"</formula>
    </cfRule>
    <cfRule type="cellIs" dxfId="543" priority="569" operator="equal">
      <formula>"Muy Baja"</formula>
    </cfRule>
  </conditionalFormatting>
  <conditionalFormatting sqref="N46">
    <cfRule type="cellIs" dxfId="542" priority="556" operator="equal">
      <formula>"Extremo"</formula>
    </cfRule>
    <cfRule type="cellIs" dxfId="541" priority="557" operator="equal">
      <formula>"Alto"</formula>
    </cfRule>
    <cfRule type="cellIs" dxfId="540" priority="558" operator="equal">
      <formula>"Moderado"</formula>
    </cfRule>
    <cfRule type="cellIs" dxfId="539" priority="559" operator="equal">
      <formula>"Bajo"</formula>
    </cfRule>
  </conditionalFormatting>
  <conditionalFormatting sqref="Y46:Y51">
    <cfRule type="cellIs" dxfId="538" priority="551" operator="equal">
      <formula>"Muy Alta"</formula>
    </cfRule>
    <cfRule type="cellIs" dxfId="537" priority="552" operator="equal">
      <formula>"Alta"</formula>
    </cfRule>
    <cfRule type="cellIs" dxfId="536" priority="553" operator="equal">
      <formula>"Media"</formula>
    </cfRule>
    <cfRule type="cellIs" dxfId="535" priority="554" operator="equal">
      <formula>"Baja"</formula>
    </cfRule>
    <cfRule type="cellIs" dxfId="534" priority="555" operator="equal">
      <formula>"Muy Baja"</formula>
    </cfRule>
  </conditionalFormatting>
  <conditionalFormatting sqref="AA46:AA51">
    <cfRule type="cellIs" dxfId="533" priority="546" operator="equal">
      <formula>"Catastrófico"</formula>
    </cfRule>
    <cfRule type="cellIs" dxfId="532" priority="547" operator="equal">
      <formula>"Mayor"</formula>
    </cfRule>
    <cfRule type="cellIs" dxfId="531" priority="548" operator="equal">
      <formula>"Moderado"</formula>
    </cfRule>
    <cfRule type="cellIs" dxfId="530" priority="549" operator="equal">
      <formula>"Menor"</formula>
    </cfRule>
    <cfRule type="cellIs" dxfId="529" priority="550" operator="equal">
      <formula>"Leve"</formula>
    </cfRule>
  </conditionalFormatting>
  <conditionalFormatting sqref="AC46:AC51">
    <cfRule type="cellIs" dxfId="528" priority="542" operator="equal">
      <formula>"Extremo"</formula>
    </cfRule>
    <cfRule type="cellIs" dxfId="527" priority="543" operator="equal">
      <formula>"Alto"</formula>
    </cfRule>
    <cfRule type="cellIs" dxfId="526" priority="544" operator="equal">
      <formula>"Moderado"</formula>
    </cfRule>
    <cfRule type="cellIs" dxfId="525" priority="545" operator="equal">
      <formula>"Bajo"</formula>
    </cfRule>
  </conditionalFormatting>
  <conditionalFormatting sqref="H52">
    <cfRule type="cellIs" dxfId="524" priority="537" operator="equal">
      <formula>"Muy Alta"</formula>
    </cfRule>
    <cfRule type="cellIs" dxfId="523" priority="538" operator="equal">
      <formula>"Alta"</formula>
    </cfRule>
    <cfRule type="cellIs" dxfId="522" priority="539" operator="equal">
      <formula>"Media"</formula>
    </cfRule>
    <cfRule type="cellIs" dxfId="521" priority="540" operator="equal">
      <formula>"Baja"</formula>
    </cfRule>
    <cfRule type="cellIs" dxfId="520" priority="541" operator="equal">
      <formula>"Muy Baja"</formula>
    </cfRule>
  </conditionalFormatting>
  <conditionalFormatting sqref="N52">
    <cfRule type="cellIs" dxfId="519" priority="528" operator="equal">
      <formula>"Extremo"</formula>
    </cfRule>
    <cfRule type="cellIs" dxfId="518" priority="529" operator="equal">
      <formula>"Alto"</formula>
    </cfRule>
    <cfRule type="cellIs" dxfId="517" priority="530" operator="equal">
      <formula>"Moderado"</formula>
    </cfRule>
    <cfRule type="cellIs" dxfId="516" priority="531" operator="equal">
      <formula>"Bajo"</formula>
    </cfRule>
  </conditionalFormatting>
  <conditionalFormatting sqref="Y52:Y57">
    <cfRule type="cellIs" dxfId="515" priority="523" operator="equal">
      <formula>"Muy Alta"</formula>
    </cfRule>
    <cfRule type="cellIs" dxfId="514" priority="524" operator="equal">
      <formula>"Alta"</formula>
    </cfRule>
    <cfRule type="cellIs" dxfId="513" priority="525" operator="equal">
      <formula>"Media"</formula>
    </cfRule>
    <cfRule type="cellIs" dxfId="512" priority="526" operator="equal">
      <formula>"Baja"</formula>
    </cfRule>
    <cfRule type="cellIs" dxfId="511" priority="527" operator="equal">
      <formula>"Muy Baja"</formula>
    </cfRule>
  </conditionalFormatting>
  <conditionalFormatting sqref="AA52:AA57">
    <cfRule type="cellIs" dxfId="510" priority="518" operator="equal">
      <formula>"Catastrófico"</formula>
    </cfRule>
    <cfRule type="cellIs" dxfId="509" priority="519" operator="equal">
      <formula>"Mayor"</formula>
    </cfRule>
    <cfRule type="cellIs" dxfId="508" priority="520" operator="equal">
      <formula>"Moderado"</formula>
    </cfRule>
    <cfRule type="cellIs" dxfId="507" priority="521" operator="equal">
      <formula>"Menor"</formula>
    </cfRule>
    <cfRule type="cellIs" dxfId="506" priority="522" operator="equal">
      <formula>"Leve"</formula>
    </cfRule>
  </conditionalFormatting>
  <conditionalFormatting sqref="AC52:AC57">
    <cfRule type="cellIs" dxfId="505" priority="514" operator="equal">
      <formula>"Extremo"</formula>
    </cfRule>
    <cfRule type="cellIs" dxfId="504" priority="515" operator="equal">
      <formula>"Alto"</formula>
    </cfRule>
    <cfRule type="cellIs" dxfId="503" priority="516" operator="equal">
      <formula>"Moderado"</formula>
    </cfRule>
    <cfRule type="cellIs" dxfId="502" priority="517" operator="equal">
      <formula>"Bajo"</formula>
    </cfRule>
  </conditionalFormatting>
  <conditionalFormatting sqref="N58">
    <cfRule type="cellIs" dxfId="501" priority="500" operator="equal">
      <formula>"Extremo"</formula>
    </cfRule>
    <cfRule type="cellIs" dxfId="500" priority="501" operator="equal">
      <formula>"Alto"</formula>
    </cfRule>
    <cfRule type="cellIs" dxfId="499" priority="502" operator="equal">
      <formula>"Moderado"</formula>
    </cfRule>
    <cfRule type="cellIs" dxfId="498" priority="503" operator="equal">
      <formula>"Bajo"</formula>
    </cfRule>
  </conditionalFormatting>
  <conditionalFormatting sqref="Y58:Y63">
    <cfRule type="cellIs" dxfId="497" priority="495" operator="equal">
      <formula>"Muy Alta"</formula>
    </cfRule>
    <cfRule type="cellIs" dxfId="496" priority="496" operator="equal">
      <formula>"Alta"</formula>
    </cfRule>
    <cfRule type="cellIs" dxfId="495" priority="497" operator="equal">
      <formula>"Media"</formula>
    </cfRule>
    <cfRule type="cellIs" dxfId="494" priority="498" operator="equal">
      <formula>"Baja"</formula>
    </cfRule>
    <cfRule type="cellIs" dxfId="493" priority="499" operator="equal">
      <formula>"Muy Baja"</formula>
    </cfRule>
  </conditionalFormatting>
  <conditionalFormatting sqref="AA58:AA63">
    <cfRule type="cellIs" dxfId="492" priority="490" operator="equal">
      <formula>"Catastrófico"</formula>
    </cfRule>
    <cfRule type="cellIs" dxfId="491" priority="491" operator="equal">
      <formula>"Mayor"</formula>
    </cfRule>
    <cfRule type="cellIs" dxfId="490" priority="492" operator="equal">
      <formula>"Moderado"</formula>
    </cfRule>
    <cfRule type="cellIs" dxfId="489" priority="493" operator="equal">
      <formula>"Menor"</formula>
    </cfRule>
    <cfRule type="cellIs" dxfId="488" priority="494" operator="equal">
      <formula>"Leve"</formula>
    </cfRule>
  </conditionalFormatting>
  <conditionalFormatting sqref="AC58:AC63">
    <cfRule type="cellIs" dxfId="487" priority="486" operator="equal">
      <formula>"Extremo"</formula>
    </cfRule>
    <cfRule type="cellIs" dxfId="486" priority="487" operator="equal">
      <formula>"Alto"</formula>
    </cfRule>
    <cfRule type="cellIs" dxfId="485" priority="488" operator="equal">
      <formula>"Moderado"</formula>
    </cfRule>
    <cfRule type="cellIs" dxfId="484" priority="489" operator="equal">
      <formula>"Bajo"</formula>
    </cfRule>
  </conditionalFormatting>
  <conditionalFormatting sqref="H64">
    <cfRule type="cellIs" dxfId="483" priority="481" operator="equal">
      <formula>"Muy Alta"</formula>
    </cfRule>
    <cfRule type="cellIs" dxfId="482" priority="482" operator="equal">
      <formula>"Alta"</formula>
    </cfRule>
    <cfRule type="cellIs" dxfId="481" priority="483" operator="equal">
      <formula>"Media"</formula>
    </cfRule>
    <cfRule type="cellIs" dxfId="480" priority="484" operator="equal">
      <formula>"Baja"</formula>
    </cfRule>
    <cfRule type="cellIs" dxfId="479" priority="485" operator="equal">
      <formula>"Muy Baja"</formula>
    </cfRule>
  </conditionalFormatting>
  <conditionalFormatting sqref="N64">
    <cfRule type="cellIs" dxfId="478" priority="472" operator="equal">
      <formula>"Extremo"</formula>
    </cfRule>
    <cfRule type="cellIs" dxfId="477" priority="473" operator="equal">
      <formula>"Alto"</formula>
    </cfRule>
    <cfRule type="cellIs" dxfId="476" priority="474" operator="equal">
      <formula>"Moderado"</formula>
    </cfRule>
    <cfRule type="cellIs" dxfId="475" priority="475" operator="equal">
      <formula>"Bajo"</formula>
    </cfRule>
  </conditionalFormatting>
  <conditionalFormatting sqref="Y64:Y69">
    <cfRule type="cellIs" dxfId="474" priority="467" operator="equal">
      <formula>"Muy Alta"</formula>
    </cfRule>
    <cfRule type="cellIs" dxfId="473" priority="468" operator="equal">
      <formula>"Alta"</formula>
    </cfRule>
    <cfRule type="cellIs" dxfId="472" priority="469" operator="equal">
      <formula>"Media"</formula>
    </cfRule>
    <cfRule type="cellIs" dxfId="471" priority="470" operator="equal">
      <formula>"Baja"</formula>
    </cfRule>
    <cfRule type="cellIs" dxfId="470" priority="471" operator="equal">
      <formula>"Muy Baja"</formula>
    </cfRule>
  </conditionalFormatting>
  <conditionalFormatting sqref="AA64:AA69">
    <cfRule type="cellIs" dxfId="469" priority="462" operator="equal">
      <formula>"Catastrófico"</formula>
    </cfRule>
    <cfRule type="cellIs" dxfId="468" priority="463" operator="equal">
      <formula>"Mayor"</formula>
    </cfRule>
    <cfRule type="cellIs" dxfId="467" priority="464" operator="equal">
      <formula>"Moderado"</formula>
    </cfRule>
    <cfRule type="cellIs" dxfId="466" priority="465" operator="equal">
      <formula>"Menor"</formula>
    </cfRule>
    <cfRule type="cellIs" dxfId="465" priority="466" operator="equal">
      <formula>"Leve"</formula>
    </cfRule>
  </conditionalFormatting>
  <conditionalFormatting sqref="AC64:AC69">
    <cfRule type="cellIs" dxfId="464" priority="458" operator="equal">
      <formula>"Extremo"</formula>
    </cfRule>
    <cfRule type="cellIs" dxfId="463" priority="459" operator="equal">
      <formula>"Alto"</formula>
    </cfRule>
    <cfRule type="cellIs" dxfId="462" priority="460" operator="equal">
      <formula>"Moderado"</formula>
    </cfRule>
    <cfRule type="cellIs" dxfId="461" priority="461" operator="equal">
      <formula>"Bajo"</formula>
    </cfRule>
  </conditionalFormatting>
  <conditionalFormatting sqref="K10:K69">
    <cfRule type="containsText" dxfId="460" priority="457" operator="containsText" text="❌">
      <formula>NOT(ISERROR(SEARCH("❌",K10)))</formula>
    </cfRule>
  </conditionalFormatting>
  <conditionalFormatting sqref="Y16">
    <cfRule type="cellIs" dxfId="459" priority="452" operator="equal">
      <formula>"Muy Alta"</formula>
    </cfRule>
    <cfRule type="cellIs" dxfId="458" priority="453" operator="equal">
      <formula>"Alta"</formula>
    </cfRule>
    <cfRule type="cellIs" dxfId="457" priority="454" operator="equal">
      <formula>"Media"</formula>
    </cfRule>
    <cfRule type="cellIs" dxfId="456" priority="455" operator="equal">
      <formula>"Baja"</formula>
    </cfRule>
    <cfRule type="cellIs" dxfId="455" priority="456" operator="equal">
      <formula>"Muy Baja"</formula>
    </cfRule>
  </conditionalFormatting>
  <conditionalFormatting sqref="H80 H86">
    <cfRule type="cellIs" dxfId="454" priority="447" operator="equal">
      <formula>"Muy Alta"</formula>
    </cfRule>
    <cfRule type="cellIs" dxfId="453" priority="448" operator="equal">
      <formula>"Alta"</formula>
    </cfRule>
    <cfRule type="cellIs" dxfId="452" priority="449" operator="equal">
      <formula>"Media"</formula>
    </cfRule>
    <cfRule type="cellIs" dxfId="451" priority="450" operator="equal">
      <formula>"Baja"</formula>
    </cfRule>
    <cfRule type="cellIs" dxfId="450" priority="451" operator="equal">
      <formula>"Muy Baja"</formula>
    </cfRule>
  </conditionalFormatting>
  <conditionalFormatting sqref="L80 L86 L92 L98 L104 L110 L116 L122 L128 L134">
    <cfRule type="cellIs" dxfId="449" priority="442" operator="equal">
      <formula>"Catastrófico"</formula>
    </cfRule>
    <cfRule type="cellIs" dxfId="448" priority="443" operator="equal">
      <formula>"Mayor"</formula>
    </cfRule>
    <cfRule type="cellIs" dxfId="447" priority="444" operator="equal">
      <formula>"Moderado"</formula>
    </cfRule>
    <cfRule type="cellIs" dxfId="446" priority="445" operator="equal">
      <formula>"Menor"</formula>
    </cfRule>
    <cfRule type="cellIs" dxfId="445" priority="446" operator="equal">
      <formula>"Leve"</formula>
    </cfRule>
  </conditionalFormatting>
  <conditionalFormatting sqref="N80">
    <cfRule type="cellIs" dxfId="444" priority="438" operator="equal">
      <formula>"Extremo"</formula>
    </cfRule>
    <cfRule type="cellIs" dxfId="443" priority="439" operator="equal">
      <formula>"Alto"</formula>
    </cfRule>
    <cfRule type="cellIs" dxfId="442" priority="440" operator="equal">
      <formula>"Moderado"</formula>
    </cfRule>
    <cfRule type="cellIs" dxfId="441" priority="441" operator="equal">
      <formula>"Bajo"</formula>
    </cfRule>
  </conditionalFormatting>
  <conditionalFormatting sqref="Y80">
    <cfRule type="cellIs" dxfId="440" priority="433" operator="equal">
      <formula>"Muy Alta"</formula>
    </cfRule>
    <cfRule type="cellIs" dxfId="439" priority="434" operator="equal">
      <formula>"Alta"</formula>
    </cfRule>
    <cfRule type="cellIs" dxfId="438" priority="435" operator="equal">
      <formula>"Media"</formula>
    </cfRule>
    <cfRule type="cellIs" dxfId="437" priority="436" operator="equal">
      <formula>"Baja"</formula>
    </cfRule>
    <cfRule type="cellIs" dxfId="436" priority="437" operator="equal">
      <formula>"Muy Baja"</formula>
    </cfRule>
  </conditionalFormatting>
  <conditionalFormatting sqref="AA80">
    <cfRule type="cellIs" dxfId="435" priority="428" operator="equal">
      <formula>"Catastrófico"</formula>
    </cfRule>
    <cfRule type="cellIs" dxfId="434" priority="429" operator="equal">
      <formula>"Mayor"</formula>
    </cfRule>
    <cfRule type="cellIs" dxfId="433" priority="430" operator="equal">
      <formula>"Moderado"</formula>
    </cfRule>
    <cfRule type="cellIs" dxfId="432" priority="431" operator="equal">
      <formula>"Menor"</formula>
    </cfRule>
    <cfRule type="cellIs" dxfId="431" priority="432" operator="equal">
      <formula>"Leve"</formula>
    </cfRule>
  </conditionalFormatting>
  <conditionalFormatting sqref="AC80">
    <cfRule type="cellIs" dxfId="430" priority="424" operator="equal">
      <formula>"Extremo"</formula>
    </cfRule>
    <cfRule type="cellIs" dxfId="429" priority="425" operator="equal">
      <formula>"Alto"</formula>
    </cfRule>
    <cfRule type="cellIs" dxfId="428" priority="426" operator="equal">
      <formula>"Moderado"</formula>
    </cfRule>
    <cfRule type="cellIs" dxfId="427" priority="427" operator="equal">
      <formula>"Bajo"</formula>
    </cfRule>
  </conditionalFormatting>
  <conditionalFormatting sqref="H128">
    <cfRule type="cellIs" dxfId="426" priority="263" operator="equal">
      <formula>"Muy Alta"</formula>
    </cfRule>
    <cfRule type="cellIs" dxfId="425" priority="264" operator="equal">
      <formula>"Alta"</formula>
    </cfRule>
    <cfRule type="cellIs" dxfId="424" priority="265" operator="equal">
      <formula>"Media"</formula>
    </cfRule>
    <cfRule type="cellIs" dxfId="423" priority="266" operator="equal">
      <formula>"Baja"</formula>
    </cfRule>
    <cfRule type="cellIs" dxfId="422" priority="267" operator="equal">
      <formula>"Muy Baja"</formula>
    </cfRule>
  </conditionalFormatting>
  <conditionalFormatting sqref="N86">
    <cfRule type="cellIs" dxfId="421" priority="420" operator="equal">
      <formula>"Extremo"</formula>
    </cfRule>
    <cfRule type="cellIs" dxfId="420" priority="421" operator="equal">
      <formula>"Alto"</formula>
    </cfRule>
    <cfRule type="cellIs" dxfId="419" priority="422" operator="equal">
      <formula>"Moderado"</formula>
    </cfRule>
    <cfRule type="cellIs" dxfId="418" priority="423" operator="equal">
      <formula>"Bajo"</formula>
    </cfRule>
  </conditionalFormatting>
  <conditionalFormatting sqref="Y86 Y88:Y91">
    <cfRule type="cellIs" dxfId="417" priority="415" operator="equal">
      <formula>"Muy Alta"</formula>
    </cfRule>
    <cfRule type="cellIs" dxfId="416" priority="416" operator="equal">
      <formula>"Alta"</formula>
    </cfRule>
    <cfRule type="cellIs" dxfId="415" priority="417" operator="equal">
      <formula>"Media"</formula>
    </cfRule>
    <cfRule type="cellIs" dxfId="414" priority="418" operator="equal">
      <formula>"Baja"</formula>
    </cfRule>
    <cfRule type="cellIs" dxfId="413" priority="419" operator="equal">
      <formula>"Muy Baja"</formula>
    </cfRule>
  </conditionalFormatting>
  <conditionalFormatting sqref="AA86 AA88:AA91">
    <cfRule type="cellIs" dxfId="412" priority="410" operator="equal">
      <formula>"Catastrófico"</formula>
    </cfRule>
    <cfRule type="cellIs" dxfId="411" priority="411" operator="equal">
      <formula>"Mayor"</formula>
    </cfRule>
    <cfRule type="cellIs" dxfId="410" priority="412" operator="equal">
      <formula>"Moderado"</formula>
    </cfRule>
    <cfRule type="cellIs" dxfId="409" priority="413" operator="equal">
      <formula>"Menor"</formula>
    </cfRule>
    <cfRule type="cellIs" dxfId="408" priority="414" operator="equal">
      <formula>"Leve"</formula>
    </cfRule>
  </conditionalFormatting>
  <conditionalFormatting sqref="AC86 AC88:AC91">
    <cfRule type="cellIs" dxfId="407" priority="406" operator="equal">
      <formula>"Extremo"</formula>
    </cfRule>
    <cfRule type="cellIs" dxfId="406" priority="407" operator="equal">
      <formula>"Alto"</formula>
    </cfRule>
    <cfRule type="cellIs" dxfId="405" priority="408" operator="equal">
      <formula>"Moderado"</formula>
    </cfRule>
    <cfRule type="cellIs" dxfId="404" priority="409" operator="equal">
      <formula>"Bajo"</formula>
    </cfRule>
  </conditionalFormatting>
  <conditionalFormatting sqref="H92">
    <cfRule type="cellIs" dxfId="403" priority="401" operator="equal">
      <formula>"Muy Alta"</formula>
    </cfRule>
    <cfRule type="cellIs" dxfId="402" priority="402" operator="equal">
      <formula>"Alta"</formula>
    </cfRule>
    <cfRule type="cellIs" dxfId="401" priority="403" operator="equal">
      <formula>"Media"</formula>
    </cfRule>
    <cfRule type="cellIs" dxfId="400" priority="404" operator="equal">
      <formula>"Baja"</formula>
    </cfRule>
    <cfRule type="cellIs" dxfId="399" priority="405" operator="equal">
      <formula>"Muy Baja"</formula>
    </cfRule>
  </conditionalFormatting>
  <conditionalFormatting sqref="N92">
    <cfRule type="cellIs" dxfId="398" priority="397" operator="equal">
      <formula>"Extremo"</formula>
    </cfRule>
    <cfRule type="cellIs" dxfId="397" priority="398" operator="equal">
      <formula>"Alto"</formula>
    </cfRule>
    <cfRule type="cellIs" dxfId="396" priority="399" operator="equal">
      <formula>"Moderado"</formula>
    </cfRule>
    <cfRule type="cellIs" dxfId="395" priority="400" operator="equal">
      <formula>"Bajo"</formula>
    </cfRule>
  </conditionalFormatting>
  <conditionalFormatting sqref="Y92:Y97">
    <cfRule type="cellIs" dxfId="394" priority="392" operator="equal">
      <formula>"Muy Alta"</formula>
    </cfRule>
    <cfRule type="cellIs" dxfId="393" priority="393" operator="equal">
      <formula>"Alta"</formula>
    </cfRule>
    <cfRule type="cellIs" dxfId="392" priority="394" operator="equal">
      <formula>"Media"</formula>
    </cfRule>
    <cfRule type="cellIs" dxfId="391" priority="395" operator="equal">
      <formula>"Baja"</formula>
    </cfRule>
    <cfRule type="cellIs" dxfId="390" priority="396" operator="equal">
      <formula>"Muy Baja"</formula>
    </cfRule>
  </conditionalFormatting>
  <conditionalFormatting sqref="AA92:AA97">
    <cfRule type="cellIs" dxfId="389" priority="387" operator="equal">
      <formula>"Catastrófico"</formula>
    </cfRule>
    <cfRule type="cellIs" dxfId="388" priority="388" operator="equal">
      <formula>"Mayor"</formula>
    </cfRule>
    <cfRule type="cellIs" dxfId="387" priority="389" operator="equal">
      <formula>"Moderado"</formula>
    </cfRule>
    <cfRule type="cellIs" dxfId="386" priority="390" operator="equal">
      <formula>"Menor"</formula>
    </cfRule>
    <cfRule type="cellIs" dxfId="385" priority="391" operator="equal">
      <formula>"Leve"</formula>
    </cfRule>
  </conditionalFormatting>
  <conditionalFormatting sqref="AC92:AC97">
    <cfRule type="cellIs" dxfId="384" priority="383" operator="equal">
      <formula>"Extremo"</formula>
    </cfRule>
    <cfRule type="cellIs" dxfId="383" priority="384" operator="equal">
      <formula>"Alto"</formula>
    </cfRule>
    <cfRule type="cellIs" dxfId="382" priority="385" operator="equal">
      <formula>"Moderado"</formula>
    </cfRule>
    <cfRule type="cellIs" dxfId="381" priority="386" operator="equal">
      <formula>"Bajo"</formula>
    </cfRule>
  </conditionalFormatting>
  <conditionalFormatting sqref="H98">
    <cfRule type="cellIs" dxfId="380" priority="378" operator="equal">
      <formula>"Muy Alta"</formula>
    </cfRule>
    <cfRule type="cellIs" dxfId="379" priority="379" operator="equal">
      <formula>"Alta"</formula>
    </cfRule>
    <cfRule type="cellIs" dxfId="378" priority="380" operator="equal">
      <formula>"Media"</formula>
    </cfRule>
    <cfRule type="cellIs" dxfId="377" priority="381" operator="equal">
      <formula>"Baja"</formula>
    </cfRule>
    <cfRule type="cellIs" dxfId="376" priority="382" operator="equal">
      <formula>"Muy Baja"</formula>
    </cfRule>
  </conditionalFormatting>
  <conditionalFormatting sqref="N98">
    <cfRule type="cellIs" dxfId="375" priority="374" operator="equal">
      <formula>"Extremo"</formula>
    </cfRule>
    <cfRule type="cellIs" dxfId="374" priority="375" operator="equal">
      <formula>"Alto"</formula>
    </cfRule>
    <cfRule type="cellIs" dxfId="373" priority="376" operator="equal">
      <formula>"Moderado"</formula>
    </cfRule>
    <cfRule type="cellIs" dxfId="372" priority="377" operator="equal">
      <formula>"Bajo"</formula>
    </cfRule>
  </conditionalFormatting>
  <conditionalFormatting sqref="Y98:Y103">
    <cfRule type="cellIs" dxfId="371" priority="369" operator="equal">
      <formula>"Muy Alta"</formula>
    </cfRule>
    <cfRule type="cellIs" dxfId="370" priority="370" operator="equal">
      <formula>"Alta"</formula>
    </cfRule>
    <cfRule type="cellIs" dxfId="369" priority="371" operator="equal">
      <formula>"Media"</formula>
    </cfRule>
    <cfRule type="cellIs" dxfId="368" priority="372" operator="equal">
      <formula>"Baja"</formula>
    </cfRule>
    <cfRule type="cellIs" dxfId="367" priority="373" operator="equal">
      <formula>"Muy Baja"</formula>
    </cfRule>
  </conditionalFormatting>
  <conditionalFormatting sqref="AA98:AA103">
    <cfRule type="cellIs" dxfId="366" priority="364" operator="equal">
      <formula>"Catastrófico"</formula>
    </cfRule>
    <cfRule type="cellIs" dxfId="365" priority="365" operator="equal">
      <formula>"Mayor"</formula>
    </cfRule>
    <cfRule type="cellIs" dxfId="364" priority="366" operator="equal">
      <formula>"Moderado"</formula>
    </cfRule>
    <cfRule type="cellIs" dxfId="363" priority="367" operator="equal">
      <formula>"Menor"</formula>
    </cfRule>
    <cfRule type="cellIs" dxfId="362" priority="368" operator="equal">
      <formula>"Leve"</formula>
    </cfRule>
  </conditionalFormatting>
  <conditionalFormatting sqref="AC98:AC103">
    <cfRule type="cellIs" dxfId="361" priority="360" operator="equal">
      <formula>"Extremo"</formula>
    </cfRule>
    <cfRule type="cellIs" dxfId="360" priority="361" operator="equal">
      <formula>"Alto"</formula>
    </cfRule>
    <cfRule type="cellIs" dxfId="359" priority="362" operator="equal">
      <formula>"Moderado"</formula>
    </cfRule>
    <cfRule type="cellIs" dxfId="358" priority="363" operator="equal">
      <formula>"Bajo"</formula>
    </cfRule>
  </conditionalFormatting>
  <conditionalFormatting sqref="H104">
    <cfRule type="cellIs" dxfId="357" priority="355" operator="equal">
      <formula>"Muy Alta"</formula>
    </cfRule>
    <cfRule type="cellIs" dxfId="356" priority="356" operator="equal">
      <formula>"Alta"</formula>
    </cfRule>
    <cfRule type="cellIs" dxfId="355" priority="357" operator="equal">
      <formula>"Media"</formula>
    </cfRule>
    <cfRule type="cellIs" dxfId="354" priority="358" operator="equal">
      <formula>"Baja"</formula>
    </cfRule>
    <cfRule type="cellIs" dxfId="353" priority="359" operator="equal">
      <formula>"Muy Baja"</formula>
    </cfRule>
  </conditionalFormatting>
  <conditionalFormatting sqref="N104">
    <cfRule type="cellIs" dxfId="352" priority="351" operator="equal">
      <formula>"Extremo"</formula>
    </cfRule>
    <cfRule type="cellIs" dxfId="351" priority="352" operator="equal">
      <formula>"Alto"</formula>
    </cfRule>
    <cfRule type="cellIs" dxfId="350" priority="353" operator="equal">
      <formula>"Moderado"</formula>
    </cfRule>
    <cfRule type="cellIs" dxfId="349" priority="354" operator="equal">
      <formula>"Bajo"</formula>
    </cfRule>
  </conditionalFormatting>
  <conditionalFormatting sqref="Y104:Y109">
    <cfRule type="cellIs" dxfId="348" priority="346" operator="equal">
      <formula>"Muy Alta"</formula>
    </cfRule>
    <cfRule type="cellIs" dxfId="347" priority="347" operator="equal">
      <formula>"Alta"</formula>
    </cfRule>
    <cfRule type="cellIs" dxfId="346" priority="348" operator="equal">
      <formula>"Media"</formula>
    </cfRule>
    <cfRule type="cellIs" dxfId="345" priority="349" operator="equal">
      <formula>"Baja"</formula>
    </cfRule>
    <cfRule type="cellIs" dxfId="344" priority="350" operator="equal">
      <formula>"Muy Baja"</formula>
    </cfRule>
  </conditionalFormatting>
  <conditionalFormatting sqref="AA104:AA109">
    <cfRule type="cellIs" dxfId="343" priority="341" operator="equal">
      <formula>"Catastrófico"</formula>
    </cfRule>
    <cfRule type="cellIs" dxfId="342" priority="342" operator="equal">
      <formula>"Mayor"</formula>
    </cfRule>
    <cfRule type="cellIs" dxfId="341" priority="343" operator="equal">
      <formula>"Moderado"</formula>
    </cfRule>
    <cfRule type="cellIs" dxfId="340" priority="344" operator="equal">
      <formula>"Menor"</formula>
    </cfRule>
    <cfRule type="cellIs" dxfId="339" priority="345" operator="equal">
      <formula>"Leve"</formula>
    </cfRule>
  </conditionalFormatting>
  <conditionalFormatting sqref="AC104:AC109">
    <cfRule type="cellIs" dxfId="338" priority="337" operator="equal">
      <formula>"Extremo"</formula>
    </cfRule>
    <cfRule type="cellIs" dxfId="337" priority="338" operator="equal">
      <formula>"Alto"</formula>
    </cfRule>
    <cfRule type="cellIs" dxfId="336" priority="339" operator="equal">
      <formula>"Moderado"</formula>
    </cfRule>
    <cfRule type="cellIs" dxfId="335" priority="340" operator="equal">
      <formula>"Bajo"</formula>
    </cfRule>
  </conditionalFormatting>
  <conditionalFormatting sqref="H110">
    <cfRule type="cellIs" dxfId="334" priority="332" operator="equal">
      <formula>"Muy Alta"</formula>
    </cfRule>
    <cfRule type="cellIs" dxfId="333" priority="333" operator="equal">
      <formula>"Alta"</formula>
    </cfRule>
    <cfRule type="cellIs" dxfId="332" priority="334" operator="equal">
      <formula>"Media"</formula>
    </cfRule>
    <cfRule type="cellIs" dxfId="331" priority="335" operator="equal">
      <formula>"Baja"</formula>
    </cfRule>
    <cfRule type="cellIs" dxfId="330" priority="336" operator="equal">
      <formula>"Muy Baja"</formula>
    </cfRule>
  </conditionalFormatting>
  <conditionalFormatting sqref="N110">
    <cfRule type="cellIs" dxfId="329" priority="328" operator="equal">
      <formula>"Extremo"</formula>
    </cfRule>
    <cfRule type="cellIs" dxfId="328" priority="329" operator="equal">
      <formula>"Alto"</formula>
    </cfRule>
    <cfRule type="cellIs" dxfId="327" priority="330" operator="equal">
      <formula>"Moderado"</formula>
    </cfRule>
    <cfRule type="cellIs" dxfId="326" priority="331" operator="equal">
      <formula>"Bajo"</formula>
    </cfRule>
  </conditionalFormatting>
  <conditionalFormatting sqref="Y110:Y115">
    <cfRule type="cellIs" dxfId="325" priority="323" operator="equal">
      <formula>"Muy Alta"</formula>
    </cfRule>
    <cfRule type="cellIs" dxfId="324" priority="324" operator="equal">
      <formula>"Alta"</formula>
    </cfRule>
    <cfRule type="cellIs" dxfId="323" priority="325" operator="equal">
      <formula>"Media"</formula>
    </cfRule>
    <cfRule type="cellIs" dxfId="322" priority="326" operator="equal">
      <formula>"Baja"</formula>
    </cfRule>
    <cfRule type="cellIs" dxfId="321" priority="327" operator="equal">
      <formula>"Muy Baja"</formula>
    </cfRule>
  </conditionalFormatting>
  <conditionalFormatting sqref="AA110:AA115">
    <cfRule type="cellIs" dxfId="320" priority="318" operator="equal">
      <formula>"Catastrófico"</formula>
    </cfRule>
    <cfRule type="cellIs" dxfId="319" priority="319" operator="equal">
      <formula>"Mayor"</formula>
    </cfRule>
    <cfRule type="cellIs" dxfId="318" priority="320" operator="equal">
      <formula>"Moderado"</formula>
    </cfRule>
    <cfRule type="cellIs" dxfId="317" priority="321" operator="equal">
      <formula>"Menor"</formula>
    </cfRule>
    <cfRule type="cellIs" dxfId="316" priority="322" operator="equal">
      <formula>"Leve"</formula>
    </cfRule>
  </conditionalFormatting>
  <conditionalFormatting sqref="AC110:AC115">
    <cfRule type="cellIs" dxfId="315" priority="314" operator="equal">
      <formula>"Extremo"</formula>
    </cfRule>
    <cfRule type="cellIs" dxfId="314" priority="315" operator="equal">
      <formula>"Alto"</formula>
    </cfRule>
    <cfRule type="cellIs" dxfId="313" priority="316" operator="equal">
      <formula>"Moderado"</formula>
    </cfRule>
    <cfRule type="cellIs" dxfId="312" priority="317" operator="equal">
      <formula>"Bajo"</formula>
    </cfRule>
  </conditionalFormatting>
  <conditionalFormatting sqref="H116">
    <cfRule type="cellIs" dxfId="311" priority="309" operator="equal">
      <formula>"Muy Alta"</formula>
    </cfRule>
    <cfRule type="cellIs" dxfId="310" priority="310" operator="equal">
      <formula>"Alta"</formula>
    </cfRule>
    <cfRule type="cellIs" dxfId="309" priority="311" operator="equal">
      <formula>"Media"</formula>
    </cfRule>
    <cfRule type="cellIs" dxfId="308" priority="312" operator="equal">
      <formula>"Baja"</formula>
    </cfRule>
    <cfRule type="cellIs" dxfId="307" priority="313" operator="equal">
      <formula>"Muy Baja"</formula>
    </cfRule>
  </conditionalFormatting>
  <conditionalFormatting sqref="N116">
    <cfRule type="cellIs" dxfId="306" priority="305" operator="equal">
      <formula>"Extremo"</formula>
    </cfRule>
    <cfRule type="cellIs" dxfId="305" priority="306" operator="equal">
      <formula>"Alto"</formula>
    </cfRule>
    <cfRule type="cellIs" dxfId="304" priority="307" operator="equal">
      <formula>"Moderado"</formula>
    </cfRule>
    <cfRule type="cellIs" dxfId="303" priority="308" operator="equal">
      <formula>"Bajo"</formula>
    </cfRule>
  </conditionalFormatting>
  <conditionalFormatting sqref="Y116:Y121">
    <cfRule type="cellIs" dxfId="302" priority="300" operator="equal">
      <formula>"Muy Alta"</formula>
    </cfRule>
    <cfRule type="cellIs" dxfId="301" priority="301" operator="equal">
      <formula>"Alta"</formula>
    </cfRule>
    <cfRule type="cellIs" dxfId="300" priority="302" operator="equal">
      <formula>"Media"</formula>
    </cfRule>
    <cfRule type="cellIs" dxfId="299" priority="303" operator="equal">
      <formula>"Baja"</formula>
    </cfRule>
    <cfRule type="cellIs" dxfId="298" priority="304" operator="equal">
      <formula>"Muy Baja"</formula>
    </cfRule>
  </conditionalFormatting>
  <conditionalFormatting sqref="AA116:AA121">
    <cfRule type="cellIs" dxfId="297" priority="295" operator="equal">
      <formula>"Catastrófico"</formula>
    </cfRule>
    <cfRule type="cellIs" dxfId="296" priority="296" operator="equal">
      <formula>"Mayor"</formula>
    </cfRule>
    <cfRule type="cellIs" dxfId="295" priority="297" operator="equal">
      <formula>"Moderado"</formula>
    </cfRule>
    <cfRule type="cellIs" dxfId="294" priority="298" operator="equal">
      <formula>"Menor"</formula>
    </cfRule>
    <cfRule type="cellIs" dxfId="293" priority="299" operator="equal">
      <formula>"Leve"</formula>
    </cfRule>
  </conditionalFormatting>
  <conditionalFormatting sqref="AC116:AC121">
    <cfRule type="cellIs" dxfId="292" priority="291" operator="equal">
      <formula>"Extremo"</formula>
    </cfRule>
    <cfRule type="cellIs" dxfId="291" priority="292" operator="equal">
      <formula>"Alto"</formula>
    </cfRule>
    <cfRule type="cellIs" dxfId="290" priority="293" operator="equal">
      <formula>"Moderado"</formula>
    </cfRule>
    <cfRule type="cellIs" dxfId="289" priority="294" operator="equal">
      <formula>"Bajo"</formula>
    </cfRule>
  </conditionalFormatting>
  <conditionalFormatting sqref="H122">
    <cfRule type="cellIs" dxfId="288" priority="286" operator="equal">
      <formula>"Muy Alta"</formula>
    </cfRule>
    <cfRule type="cellIs" dxfId="287" priority="287" operator="equal">
      <formula>"Alta"</formula>
    </cfRule>
    <cfRule type="cellIs" dxfId="286" priority="288" operator="equal">
      <formula>"Media"</formula>
    </cfRule>
    <cfRule type="cellIs" dxfId="285" priority="289" operator="equal">
      <formula>"Baja"</formula>
    </cfRule>
    <cfRule type="cellIs" dxfId="284" priority="290" operator="equal">
      <formula>"Muy Baja"</formula>
    </cfRule>
  </conditionalFormatting>
  <conditionalFormatting sqref="N122">
    <cfRule type="cellIs" dxfId="283" priority="282" operator="equal">
      <formula>"Extremo"</formula>
    </cfRule>
    <cfRule type="cellIs" dxfId="282" priority="283" operator="equal">
      <formula>"Alto"</formula>
    </cfRule>
    <cfRule type="cellIs" dxfId="281" priority="284" operator="equal">
      <formula>"Moderado"</formula>
    </cfRule>
    <cfRule type="cellIs" dxfId="280" priority="285" operator="equal">
      <formula>"Bajo"</formula>
    </cfRule>
  </conditionalFormatting>
  <conditionalFormatting sqref="Y122:Y127">
    <cfRule type="cellIs" dxfId="279" priority="277" operator="equal">
      <formula>"Muy Alta"</formula>
    </cfRule>
    <cfRule type="cellIs" dxfId="278" priority="278" operator="equal">
      <formula>"Alta"</formula>
    </cfRule>
    <cfRule type="cellIs" dxfId="277" priority="279" operator="equal">
      <formula>"Media"</formula>
    </cfRule>
    <cfRule type="cellIs" dxfId="276" priority="280" operator="equal">
      <formula>"Baja"</formula>
    </cfRule>
    <cfRule type="cellIs" dxfId="275" priority="281" operator="equal">
      <formula>"Muy Baja"</formula>
    </cfRule>
  </conditionalFormatting>
  <conditionalFormatting sqref="AA122:AA127">
    <cfRule type="cellIs" dxfId="274" priority="272" operator="equal">
      <formula>"Catastrófico"</formula>
    </cfRule>
    <cfRule type="cellIs" dxfId="273" priority="273" operator="equal">
      <formula>"Mayor"</formula>
    </cfRule>
    <cfRule type="cellIs" dxfId="272" priority="274" operator="equal">
      <formula>"Moderado"</formula>
    </cfRule>
    <cfRule type="cellIs" dxfId="271" priority="275" operator="equal">
      <formula>"Menor"</formula>
    </cfRule>
    <cfRule type="cellIs" dxfId="270" priority="276" operator="equal">
      <formula>"Leve"</formula>
    </cfRule>
  </conditionalFormatting>
  <conditionalFormatting sqref="AC122:AC127">
    <cfRule type="cellIs" dxfId="269" priority="268" operator="equal">
      <formula>"Extremo"</formula>
    </cfRule>
    <cfRule type="cellIs" dxfId="268" priority="269" operator="equal">
      <formula>"Alto"</formula>
    </cfRule>
    <cfRule type="cellIs" dxfId="267" priority="270" operator="equal">
      <formula>"Moderado"</formula>
    </cfRule>
    <cfRule type="cellIs" dxfId="266" priority="271" operator="equal">
      <formula>"Bajo"</formula>
    </cfRule>
  </conditionalFormatting>
  <conditionalFormatting sqref="N128">
    <cfRule type="cellIs" dxfId="265" priority="259" operator="equal">
      <formula>"Extremo"</formula>
    </cfRule>
    <cfRule type="cellIs" dxfId="264" priority="260" operator="equal">
      <formula>"Alto"</formula>
    </cfRule>
    <cfRule type="cellIs" dxfId="263" priority="261" operator="equal">
      <formula>"Moderado"</formula>
    </cfRule>
    <cfRule type="cellIs" dxfId="262" priority="262" operator="equal">
      <formula>"Bajo"</formula>
    </cfRule>
  </conditionalFormatting>
  <conditionalFormatting sqref="Y128:Y133">
    <cfRule type="cellIs" dxfId="261" priority="254" operator="equal">
      <formula>"Muy Alta"</formula>
    </cfRule>
    <cfRule type="cellIs" dxfId="260" priority="255" operator="equal">
      <formula>"Alta"</formula>
    </cfRule>
    <cfRule type="cellIs" dxfId="259" priority="256" operator="equal">
      <formula>"Media"</formula>
    </cfRule>
    <cfRule type="cellIs" dxfId="258" priority="257" operator="equal">
      <formula>"Baja"</formula>
    </cfRule>
    <cfRule type="cellIs" dxfId="257" priority="258" operator="equal">
      <formula>"Muy Baja"</formula>
    </cfRule>
  </conditionalFormatting>
  <conditionalFormatting sqref="AA128:AA133">
    <cfRule type="cellIs" dxfId="256" priority="249" operator="equal">
      <formula>"Catastrófico"</formula>
    </cfRule>
    <cfRule type="cellIs" dxfId="255" priority="250" operator="equal">
      <formula>"Mayor"</formula>
    </cfRule>
    <cfRule type="cellIs" dxfId="254" priority="251" operator="equal">
      <formula>"Moderado"</formula>
    </cfRule>
    <cfRule type="cellIs" dxfId="253" priority="252" operator="equal">
      <formula>"Menor"</formula>
    </cfRule>
    <cfRule type="cellIs" dxfId="252" priority="253" operator="equal">
      <formula>"Leve"</formula>
    </cfRule>
  </conditionalFormatting>
  <conditionalFormatting sqref="AC128:AC133">
    <cfRule type="cellIs" dxfId="251" priority="245" operator="equal">
      <formula>"Extremo"</formula>
    </cfRule>
    <cfRule type="cellIs" dxfId="250" priority="246" operator="equal">
      <formula>"Alto"</formula>
    </cfRule>
    <cfRule type="cellIs" dxfId="249" priority="247" operator="equal">
      <formula>"Moderado"</formula>
    </cfRule>
    <cfRule type="cellIs" dxfId="248" priority="248" operator="equal">
      <formula>"Bajo"</formula>
    </cfRule>
  </conditionalFormatting>
  <conditionalFormatting sqref="H134">
    <cfRule type="cellIs" dxfId="247" priority="240" operator="equal">
      <formula>"Muy Alta"</formula>
    </cfRule>
    <cfRule type="cellIs" dxfId="246" priority="241" operator="equal">
      <formula>"Alta"</formula>
    </cfRule>
    <cfRule type="cellIs" dxfId="245" priority="242" operator="equal">
      <formula>"Media"</formula>
    </cfRule>
    <cfRule type="cellIs" dxfId="244" priority="243" operator="equal">
      <formula>"Baja"</formula>
    </cfRule>
    <cfRule type="cellIs" dxfId="243" priority="244" operator="equal">
      <formula>"Muy Baja"</formula>
    </cfRule>
  </conditionalFormatting>
  <conditionalFormatting sqref="N134">
    <cfRule type="cellIs" dxfId="242" priority="236" operator="equal">
      <formula>"Extremo"</formula>
    </cfRule>
    <cfRule type="cellIs" dxfId="241" priority="237" operator="equal">
      <formula>"Alto"</formula>
    </cfRule>
    <cfRule type="cellIs" dxfId="240" priority="238" operator="equal">
      <formula>"Moderado"</formula>
    </cfRule>
    <cfRule type="cellIs" dxfId="239" priority="239" operator="equal">
      <formula>"Bajo"</formula>
    </cfRule>
  </conditionalFormatting>
  <conditionalFormatting sqref="Y134:Y139">
    <cfRule type="cellIs" dxfId="238" priority="231" operator="equal">
      <formula>"Muy Alta"</formula>
    </cfRule>
    <cfRule type="cellIs" dxfId="237" priority="232" operator="equal">
      <formula>"Alta"</formula>
    </cfRule>
    <cfRule type="cellIs" dxfId="236" priority="233" operator="equal">
      <formula>"Media"</formula>
    </cfRule>
    <cfRule type="cellIs" dxfId="235" priority="234" operator="equal">
      <formula>"Baja"</formula>
    </cfRule>
    <cfRule type="cellIs" dxfId="234" priority="235" operator="equal">
      <formula>"Muy Baja"</formula>
    </cfRule>
  </conditionalFormatting>
  <conditionalFormatting sqref="AA134:AA139">
    <cfRule type="cellIs" dxfId="233" priority="226" operator="equal">
      <formula>"Catastrófico"</formula>
    </cfRule>
    <cfRule type="cellIs" dxfId="232" priority="227" operator="equal">
      <formula>"Mayor"</formula>
    </cfRule>
    <cfRule type="cellIs" dxfId="231" priority="228" operator="equal">
      <formula>"Moderado"</formula>
    </cfRule>
    <cfRule type="cellIs" dxfId="230" priority="229" operator="equal">
      <formula>"Menor"</formula>
    </cfRule>
    <cfRule type="cellIs" dxfId="229" priority="230" operator="equal">
      <formula>"Leve"</formula>
    </cfRule>
  </conditionalFormatting>
  <conditionalFormatting sqref="AC134:AC139">
    <cfRule type="cellIs" dxfId="228" priority="222" operator="equal">
      <formula>"Extremo"</formula>
    </cfRule>
    <cfRule type="cellIs" dxfId="227" priority="223" operator="equal">
      <formula>"Alto"</formula>
    </cfRule>
    <cfRule type="cellIs" dxfId="226" priority="224" operator="equal">
      <formula>"Moderado"</formula>
    </cfRule>
    <cfRule type="cellIs" dxfId="225" priority="225" operator="equal">
      <formula>"Bajo"</formula>
    </cfRule>
  </conditionalFormatting>
  <conditionalFormatting sqref="K80:K139">
    <cfRule type="containsText" dxfId="224" priority="221" operator="containsText" text="❌">
      <formula>NOT(ISERROR(SEARCH("❌",K80)))</formula>
    </cfRule>
  </conditionalFormatting>
  <conditionalFormatting sqref="H150">
    <cfRule type="cellIs" dxfId="223" priority="216" operator="equal">
      <formula>"Muy Alta"</formula>
    </cfRule>
    <cfRule type="cellIs" dxfId="222" priority="217" operator="equal">
      <formula>"Alta"</formula>
    </cfRule>
    <cfRule type="cellIs" dxfId="221" priority="218" operator="equal">
      <formula>"Media"</formula>
    </cfRule>
    <cfRule type="cellIs" dxfId="220" priority="219" operator="equal">
      <formula>"Baja"</formula>
    </cfRule>
    <cfRule type="cellIs" dxfId="219" priority="220" operator="equal">
      <formula>"Muy Baja"</formula>
    </cfRule>
  </conditionalFormatting>
  <conditionalFormatting sqref="L150">
    <cfRule type="cellIs" dxfId="218" priority="211" operator="equal">
      <formula>"Catastrófico"</formula>
    </cfRule>
    <cfRule type="cellIs" dxfId="217" priority="212" operator="equal">
      <formula>"Mayor"</formula>
    </cfRule>
    <cfRule type="cellIs" dxfId="216" priority="213" operator="equal">
      <formula>"Moderado"</formula>
    </cfRule>
    <cfRule type="cellIs" dxfId="215" priority="214" operator="equal">
      <formula>"Menor"</formula>
    </cfRule>
    <cfRule type="cellIs" dxfId="214" priority="215" operator="equal">
      <formula>"Leve"</formula>
    </cfRule>
  </conditionalFormatting>
  <conditionalFormatting sqref="N150">
    <cfRule type="cellIs" dxfId="213" priority="207" operator="equal">
      <formula>"Extremo"</formula>
    </cfRule>
    <cfRule type="cellIs" dxfId="212" priority="208" operator="equal">
      <formula>"Alto"</formula>
    </cfRule>
    <cfRule type="cellIs" dxfId="211" priority="209" operator="equal">
      <formula>"Moderado"</formula>
    </cfRule>
    <cfRule type="cellIs" dxfId="210" priority="210" operator="equal">
      <formula>"Bajo"</formula>
    </cfRule>
  </conditionalFormatting>
  <conditionalFormatting sqref="Y150">
    <cfRule type="cellIs" dxfId="209" priority="202" operator="equal">
      <formula>"Muy Alta"</formula>
    </cfRule>
    <cfRule type="cellIs" dxfId="208" priority="203" operator="equal">
      <formula>"Alta"</formula>
    </cfRule>
    <cfRule type="cellIs" dxfId="207" priority="204" operator="equal">
      <formula>"Media"</formula>
    </cfRule>
    <cfRule type="cellIs" dxfId="206" priority="205" operator="equal">
      <formula>"Baja"</formula>
    </cfRule>
    <cfRule type="cellIs" dxfId="205" priority="206" operator="equal">
      <formula>"Muy Baja"</formula>
    </cfRule>
  </conditionalFormatting>
  <conditionalFormatting sqref="AA150">
    <cfRule type="cellIs" dxfId="204" priority="197" operator="equal">
      <formula>"Catastrófico"</formula>
    </cfRule>
    <cfRule type="cellIs" dxfId="203" priority="198" operator="equal">
      <formula>"Mayor"</formula>
    </cfRule>
    <cfRule type="cellIs" dxfId="202" priority="199" operator="equal">
      <formula>"Moderado"</formula>
    </cfRule>
    <cfRule type="cellIs" dxfId="201" priority="200" operator="equal">
      <formula>"Menor"</formula>
    </cfRule>
    <cfRule type="cellIs" dxfId="200" priority="201" operator="equal">
      <formula>"Leve"</formula>
    </cfRule>
  </conditionalFormatting>
  <conditionalFormatting sqref="AC150">
    <cfRule type="cellIs" dxfId="199" priority="193" operator="equal">
      <formula>"Extremo"</formula>
    </cfRule>
    <cfRule type="cellIs" dxfId="198" priority="194" operator="equal">
      <formula>"Alto"</formula>
    </cfRule>
    <cfRule type="cellIs" dxfId="197" priority="195" operator="equal">
      <formula>"Moderado"</formula>
    </cfRule>
    <cfRule type="cellIs" dxfId="196" priority="196" operator="equal">
      <formula>"Bajo"</formula>
    </cfRule>
  </conditionalFormatting>
  <conditionalFormatting sqref="K150:K155">
    <cfRule type="containsText" dxfId="195" priority="192" operator="containsText" text="❌">
      <formula>NOT(ISERROR(SEARCH("❌",K150)))</formula>
    </cfRule>
  </conditionalFormatting>
  <conditionalFormatting sqref="H165">
    <cfRule type="cellIs" dxfId="194" priority="187" operator="equal">
      <formula>"Muy Alta"</formula>
    </cfRule>
    <cfRule type="cellIs" dxfId="193" priority="188" operator="equal">
      <formula>"Alta"</formula>
    </cfRule>
    <cfRule type="cellIs" dxfId="192" priority="189" operator="equal">
      <formula>"Media"</formula>
    </cfRule>
    <cfRule type="cellIs" dxfId="191" priority="190" operator="equal">
      <formula>"Baja"</formula>
    </cfRule>
    <cfRule type="cellIs" dxfId="190" priority="191" operator="equal">
      <formula>"Muy Baja"</formula>
    </cfRule>
  </conditionalFormatting>
  <conditionalFormatting sqref="L165">
    <cfRule type="cellIs" dxfId="189" priority="182" operator="equal">
      <formula>"Catastrófico"</formula>
    </cfRule>
    <cfRule type="cellIs" dxfId="188" priority="183" operator="equal">
      <formula>"Mayor"</formula>
    </cfRule>
    <cfRule type="cellIs" dxfId="187" priority="184" operator="equal">
      <formula>"Moderado"</formula>
    </cfRule>
    <cfRule type="cellIs" dxfId="186" priority="185" operator="equal">
      <formula>"Menor"</formula>
    </cfRule>
    <cfRule type="cellIs" dxfId="185" priority="186" operator="equal">
      <formula>"Leve"</formula>
    </cfRule>
  </conditionalFormatting>
  <conditionalFormatting sqref="N165">
    <cfRule type="cellIs" dxfId="184" priority="178" operator="equal">
      <formula>"Extremo"</formula>
    </cfRule>
    <cfRule type="cellIs" dxfId="183" priority="179" operator="equal">
      <formula>"Alto"</formula>
    </cfRule>
    <cfRule type="cellIs" dxfId="182" priority="180" operator="equal">
      <formula>"Moderado"</formula>
    </cfRule>
    <cfRule type="cellIs" dxfId="181" priority="181" operator="equal">
      <formula>"Bajo"</formula>
    </cfRule>
  </conditionalFormatting>
  <conditionalFormatting sqref="Y165 Y167:Y170">
    <cfRule type="cellIs" dxfId="180" priority="173" operator="equal">
      <formula>"Muy Alta"</formula>
    </cfRule>
    <cfRule type="cellIs" dxfId="179" priority="174" operator="equal">
      <formula>"Alta"</formula>
    </cfRule>
    <cfRule type="cellIs" dxfId="178" priority="175" operator="equal">
      <formula>"Media"</formula>
    </cfRule>
    <cfRule type="cellIs" dxfId="177" priority="176" operator="equal">
      <formula>"Baja"</formula>
    </cfRule>
    <cfRule type="cellIs" dxfId="176" priority="177" operator="equal">
      <formula>"Muy Baja"</formula>
    </cfRule>
  </conditionalFormatting>
  <conditionalFormatting sqref="AA165 AA167:AA170">
    <cfRule type="cellIs" dxfId="175" priority="168" operator="equal">
      <formula>"Catastrófico"</formula>
    </cfRule>
    <cfRule type="cellIs" dxfId="174" priority="169" operator="equal">
      <formula>"Mayor"</formula>
    </cfRule>
    <cfRule type="cellIs" dxfId="173" priority="170" operator="equal">
      <formula>"Moderado"</formula>
    </cfRule>
    <cfRule type="cellIs" dxfId="172" priority="171" operator="equal">
      <formula>"Menor"</formula>
    </cfRule>
    <cfRule type="cellIs" dxfId="171" priority="172" operator="equal">
      <formula>"Leve"</formula>
    </cfRule>
  </conditionalFormatting>
  <conditionalFormatting sqref="AC165 AC167:AC170">
    <cfRule type="cellIs" dxfId="170" priority="164" operator="equal">
      <formula>"Extremo"</formula>
    </cfRule>
    <cfRule type="cellIs" dxfId="169" priority="165" operator="equal">
      <formula>"Alto"</formula>
    </cfRule>
    <cfRule type="cellIs" dxfId="168" priority="166" operator="equal">
      <formula>"Moderado"</formula>
    </cfRule>
    <cfRule type="cellIs" dxfId="167" priority="167" operator="equal">
      <formula>"Bajo"</formula>
    </cfRule>
  </conditionalFormatting>
  <conditionalFormatting sqref="K165:K170">
    <cfRule type="containsText" dxfId="166" priority="163" operator="containsText" text="❌">
      <formula>NOT(ISERROR(SEARCH("❌",K165)))</formula>
    </cfRule>
  </conditionalFormatting>
  <conditionalFormatting sqref="Y166">
    <cfRule type="cellIs" dxfId="165" priority="158" operator="equal">
      <formula>"Muy Alta"</formula>
    </cfRule>
    <cfRule type="cellIs" dxfId="164" priority="159" operator="equal">
      <formula>"Alta"</formula>
    </cfRule>
    <cfRule type="cellIs" dxfId="163" priority="160" operator="equal">
      <formula>"Media"</formula>
    </cfRule>
    <cfRule type="cellIs" dxfId="162" priority="161" operator="equal">
      <formula>"Baja"</formula>
    </cfRule>
    <cfRule type="cellIs" dxfId="161" priority="162" operator="equal">
      <formula>"Muy Baja"</formula>
    </cfRule>
  </conditionalFormatting>
  <conditionalFormatting sqref="AA166">
    <cfRule type="cellIs" dxfId="160" priority="153" operator="equal">
      <formula>"Catastrófico"</formula>
    </cfRule>
    <cfRule type="cellIs" dxfId="159" priority="154" operator="equal">
      <formula>"Mayor"</formula>
    </cfRule>
    <cfRule type="cellIs" dxfId="158" priority="155" operator="equal">
      <formula>"Moderado"</formula>
    </cfRule>
    <cfRule type="cellIs" dxfId="157" priority="156" operator="equal">
      <formula>"Menor"</formula>
    </cfRule>
    <cfRule type="cellIs" dxfId="156" priority="157" operator="equal">
      <formula>"Leve"</formula>
    </cfRule>
  </conditionalFormatting>
  <conditionalFormatting sqref="AC166">
    <cfRule type="cellIs" dxfId="155" priority="149" operator="equal">
      <formula>"Extremo"</formula>
    </cfRule>
    <cfRule type="cellIs" dxfId="154" priority="150" operator="equal">
      <formula>"Alto"</formula>
    </cfRule>
    <cfRule type="cellIs" dxfId="153" priority="151" operator="equal">
      <formula>"Moderado"</formula>
    </cfRule>
    <cfRule type="cellIs" dxfId="152" priority="152" operator="equal">
      <formula>"Bajo"</formula>
    </cfRule>
  </conditionalFormatting>
  <conditionalFormatting sqref="H180">
    <cfRule type="cellIs" dxfId="151" priority="144" operator="equal">
      <formula>"Muy Alta"</formula>
    </cfRule>
    <cfRule type="cellIs" dxfId="150" priority="145" operator="equal">
      <formula>"Alta"</formula>
    </cfRule>
    <cfRule type="cellIs" dxfId="149" priority="146" operator="equal">
      <formula>"Media"</formula>
    </cfRule>
    <cfRule type="cellIs" dxfId="148" priority="147" operator="equal">
      <formula>"Baja"</formula>
    </cfRule>
    <cfRule type="cellIs" dxfId="147" priority="148" operator="equal">
      <formula>"Muy Baja"</formula>
    </cfRule>
  </conditionalFormatting>
  <conditionalFormatting sqref="L180">
    <cfRule type="cellIs" dxfId="146" priority="139" operator="equal">
      <formula>"Catastrófico"</formula>
    </cfRule>
    <cfRule type="cellIs" dxfId="145" priority="140" operator="equal">
      <formula>"Mayor"</formula>
    </cfRule>
    <cfRule type="cellIs" dxfId="144" priority="141" operator="equal">
      <formula>"Moderado"</formula>
    </cfRule>
    <cfRule type="cellIs" dxfId="143" priority="142" operator="equal">
      <formula>"Menor"</formula>
    </cfRule>
    <cfRule type="cellIs" dxfId="142" priority="143" operator="equal">
      <formula>"Leve"</formula>
    </cfRule>
  </conditionalFormatting>
  <conditionalFormatting sqref="N180">
    <cfRule type="cellIs" dxfId="141" priority="135" operator="equal">
      <formula>"Extremo"</formula>
    </cfRule>
    <cfRule type="cellIs" dxfId="140" priority="136" operator="equal">
      <formula>"Alto"</formula>
    </cfRule>
    <cfRule type="cellIs" dxfId="139" priority="137" operator="equal">
      <formula>"Moderado"</formula>
    </cfRule>
    <cfRule type="cellIs" dxfId="138" priority="138" operator="equal">
      <formula>"Bajo"</formula>
    </cfRule>
  </conditionalFormatting>
  <conditionalFormatting sqref="Y180 Y182:Y185">
    <cfRule type="cellIs" dxfId="137" priority="130" operator="equal">
      <formula>"Muy Alta"</formula>
    </cfRule>
    <cfRule type="cellIs" dxfId="136" priority="131" operator="equal">
      <formula>"Alta"</formula>
    </cfRule>
    <cfRule type="cellIs" dxfId="135" priority="132" operator="equal">
      <formula>"Media"</formula>
    </cfRule>
    <cfRule type="cellIs" dxfId="134" priority="133" operator="equal">
      <formula>"Baja"</formula>
    </cfRule>
    <cfRule type="cellIs" dxfId="133" priority="134" operator="equal">
      <formula>"Muy Baja"</formula>
    </cfRule>
  </conditionalFormatting>
  <conditionalFormatting sqref="AA180 AA182:AA185">
    <cfRule type="cellIs" dxfId="132" priority="125" operator="equal">
      <formula>"Catastrófico"</formula>
    </cfRule>
    <cfRule type="cellIs" dxfId="131" priority="126" operator="equal">
      <formula>"Mayor"</formula>
    </cfRule>
    <cfRule type="cellIs" dxfId="130" priority="127" operator="equal">
      <formula>"Moderado"</formula>
    </cfRule>
    <cfRule type="cellIs" dxfId="129" priority="128" operator="equal">
      <formula>"Menor"</formula>
    </cfRule>
    <cfRule type="cellIs" dxfId="128" priority="129" operator="equal">
      <formula>"Leve"</formula>
    </cfRule>
  </conditionalFormatting>
  <conditionalFormatting sqref="AC180 AC182:AC185">
    <cfRule type="cellIs" dxfId="127" priority="121" operator="equal">
      <formula>"Extremo"</formula>
    </cfRule>
    <cfRule type="cellIs" dxfId="126" priority="122" operator="equal">
      <formula>"Alto"</formula>
    </cfRule>
    <cfRule type="cellIs" dxfId="125" priority="123" operator="equal">
      <formula>"Moderado"</formula>
    </cfRule>
    <cfRule type="cellIs" dxfId="124" priority="124" operator="equal">
      <formula>"Bajo"</formula>
    </cfRule>
  </conditionalFormatting>
  <conditionalFormatting sqref="K180:K185">
    <cfRule type="containsText" dxfId="123" priority="120" operator="containsText" text="❌">
      <formula>NOT(ISERROR(SEARCH("❌",K180)))</formula>
    </cfRule>
  </conditionalFormatting>
  <conditionalFormatting sqref="Y181">
    <cfRule type="cellIs" dxfId="122" priority="115" operator="equal">
      <formula>"Muy Alta"</formula>
    </cfRule>
    <cfRule type="cellIs" dxfId="121" priority="116" operator="equal">
      <formula>"Alta"</formula>
    </cfRule>
    <cfRule type="cellIs" dxfId="120" priority="117" operator="equal">
      <formula>"Media"</formula>
    </cfRule>
    <cfRule type="cellIs" dxfId="119" priority="118" operator="equal">
      <formula>"Baja"</formula>
    </cfRule>
    <cfRule type="cellIs" dxfId="118" priority="119" operator="equal">
      <formula>"Muy Baja"</formula>
    </cfRule>
  </conditionalFormatting>
  <conditionalFormatting sqref="AA181">
    <cfRule type="cellIs" dxfId="117" priority="110" operator="equal">
      <formula>"Catastrófico"</formula>
    </cfRule>
    <cfRule type="cellIs" dxfId="116" priority="111" operator="equal">
      <formula>"Mayor"</formula>
    </cfRule>
    <cfRule type="cellIs" dxfId="115" priority="112" operator="equal">
      <formula>"Moderado"</formula>
    </cfRule>
    <cfRule type="cellIs" dxfId="114" priority="113" operator="equal">
      <formula>"Menor"</formula>
    </cfRule>
    <cfRule type="cellIs" dxfId="113" priority="114" operator="equal">
      <formula>"Leve"</formula>
    </cfRule>
  </conditionalFormatting>
  <conditionalFormatting sqref="AC181">
    <cfRule type="cellIs" dxfId="112" priority="106" operator="equal">
      <formula>"Extremo"</formula>
    </cfRule>
    <cfRule type="cellIs" dxfId="111" priority="107" operator="equal">
      <formula>"Alto"</formula>
    </cfRule>
    <cfRule type="cellIs" dxfId="110" priority="108" operator="equal">
      <formula>"Moderado"</formula>
    </cfRule>
    <cfRule type="cellIs" dxfId="109" priority="109" operator="equal">
      <formula>"Bajo"</formula>
    </cfRule>
  </conditionalFormatting>
  <conditionalFormatting sqref="H195">
    <cfRule type="cellIs" dxfId="108" priority="101" operator="equal">
      <formula>"Muy Alta"</formula>
    </cfRule>
    <cfRule type="cellIs" dxfId="107" priority="102" operator="equal">
      <formula>"Alta"</formula>
    </cfRule>
    <cfRule type="cellIs" dxfId="106" priority="103" operator="equal">
      <formula>"Media"</formula>
    </cfRule>
    <cfRule type="cellIs" dxfId="105" priority="104" operator="equal">
      <formula>"Baja"</formula>
    </cfRule>
    <cfRule type="cellIs" dxfId="104" priority="105" operator="equal">
      <formula>"Muy Baja"</formula>
    </cfRule>
  </conditionalFormatting>
  <conditionalFormatting sqref="L195">
    <cfRule type="cellIs" dxfId="103" priority="96" operator="equal">
      <formula>"Catastrófico"</formula>
    </cfRule>
    <cfRule type="cellIs" dxfId="102" priority="97" operator="equal">
      <formula>"Mayor"</formula>
    </cfRule>
    <cfRule type="cellIs" dxfId="101" priority="98" operator="equal">
      <formula>"Moderado"</formula>
    </cfRule>
    <cfRule type="cellIs" dxfId="100" priority="99" operator="equal">
      <formula>"Menor"</formula>
    </cfRule>
    <cfRule type="cellIs" dxfId="99" priority="100" operator="equal">
      <formula>"Leve"</formula>
    </cfRule>
  </conditionalFormatting>
  <conditionalFormatting sqref="N195">
    <cfRule type="cellIs" dxfId="98" priority="92" operator="equal">
      <formula>"Extremo"</formula>
    </cfRule>
    <cfRule type="cellIs" dxfId="97" priority="93" operator="equal">
      <formula>"Alto"</formula>
    </cfRule>
    <cfRule type="cellIs" dxfId="96" priority="94" operator="equal">
      <formula>"Moderado"</formula>
    </cfRule>
    <cfRule type="cellIs" dxfId="95" priority="95" operator="equal">
      <formula>"Bajo"</formula>
    </cfRule>
  </conditionalFormatting>
  <conditionalFormatting sqref="Y195 Y197:Y200">
    <cfRule type="cellIs" dxfId="94" priority="87" operator="equal">
      <formula>"Muy Alta"</formula>
    </cfRule>
    <cfRule type="cellIs" dxfId="93" priority="88" operator="equal">
      <formula>"Alta"</formula>
    </cfRule>
    <cfRule type="cellIs" dxfId="92" priority="89" operator="equal">
      <formula>"Media"</formula>
    </cfRule>
    <cfRule type="cellIs" dxfId="91" priority="90" operator="equal">
      <formula>"Baja"</formula>
    </cfRule>
    <cfRule type="cellIs" dxfId="90" priority="91" operator="equal">
      <formula>"Muy Baja"</formula>
    </cfRule>
  </conditionalFormatting>
  <conditionalFormatting sqref="AA195 AA197:AA200">
    <cfRule type="cellIs" dxfId="89" priority="82" operator="equal">
      <formula>"Catastrófico"</formula>
    </cfRule>
    <cfRule type="cellIs" dxfId="88" priority="83" operator="equal">
      <formula>"Mayor"</formula>
    </cfRule>
    <cfRule type="cellIs" dxfId="87" priority="84" operator="equal">
      <formula>"Moderado"</formula>
    </cfRule>
    <cfRule type="cellIs" dxfId="86" priority="85" operator="equal">
      <formula>"Menor"</formula>
    </cfRule>
    <cfRule type="cellIs" dxfId="85" priority="86" operator="equal">
      <formula>"Leve"</formula>
    </cfRule>
  </conditionalFormatting>
  <conditionalFormatting sqref="AC195 AC197:AC200">
    <cfRule type="cellIs" dxfId="84" priority="78" operator="equal">
      <formula>"Extremo"</formula>
    </cfRule>
    <cfRule type="cellIs" dxfId="83" priority="79" operator="equal">
      <formula>"Alto"</formula>
    </cfRule>
    <cfRule type="cellIs" dxfId="82" priority="80" operator="equal">
      <formula>"Moderado"</formula>
    </cfRule>
    <cfRule type="cellIs" dxfId="81" priority="81" operator="equal">
      <formula>"Bajo"</formula>
    </cfRule>
  </conditionalFormatting>
  <conditionalFormatting sqref="K195:K200">
    <cfRule type="containsText" dxfId="80" priority="77" operator="containsText" text="❌">
      <formula>NOT(ISERROR(SEARCH("❌",K195)))</formula>
    </cfRule>
  </conditionalFormatting>
  <conditionalFormatting sqref="H210 H216">
    <cfRule type="cellIs" dxfId="79" priority="72" operator="equal">
      <formula>"Muy Alta"</formula>
    </cfRule>
    <cfRule type="cellIs" dxfId="78" priority="73" operator="equal">
      <formula>"Alta"</formula>
    </cfRule>
    <cfRule type="cellIs" dxfId="77" priority="74" operator="equal">
      <formula>"Media"</formula>
    </cfRule>
    <cfRule type="cellIs" dxfId="76" priority="75" operator="equal">
      <formula>"Baja"</formula>
    </cfRule>
    <cfRule type="cellIs" dxfId="75" priority="76" operator="equal">
      <formula>"Muy Baja"</formula>
    </cfRule>
  </conditionalFormatting>
  <conditionalFormatting sqref="L210 L216">
    <cfRule type="cellIs" dxfId="74" priority="67" operator="equal">
      <formula>"Catastrófico"</formula>
    </cfRule>
    <cfRule type="cellIs" dxfId="73" priority="68" operator="equal">
      <formula>"Mayor"</formula>
    </cfRule>
    <cfRule type="cellIs" dxfId="72" priority="69" operator="equal">
      <formula>"Moderado"</formula>
    </cfRule>
    <cfRule type="cellIs" dxfId="71" priority="70" operator="equal">
      <formula>"Menor"</formula>
    </cfRule>
    <cfRule type="cellIs" dxfId="70" priority="71" operator="equal">
      <formula>"Leve"</formula>
    </cfRule>
  </conditionalFormatting>
  <conditionalFormatting sqref="N210">
    <cfRule type="cellIs" dxfId="69" priority="63" operator="equal">
      <formula>"Extremo"</formula>
    </cfRule>
    <cfRule type="cellIs" dxfId="68" priority="64" operator="equal">
      <formula>"Alto"</formula>
    </cfRule>
    <cfRule type="cellIs" dxfId="67" priority="65" operator="equal">
      <formula>"Moderado"</formula>
    </cfRule>
    <cfRule type="cellIs" dxfId="66" priority="66" operator="equal">
      <formula>"Bajo"</formula>
    </cfRule>
  </conditionalFormatting>
  <conditionalFormatting sqref="Y210">
    <cfRule type="cellIs" dxfId="65" priority="58" operator="equal">
      <formula>"Muy Alta"</formula>
    </cfRule>
    <cfRule type="cellIs" dxfId="64" priority="59" operator="equal">
      <formula>"Alta"</formula>
    </cfRule>
    <cfRule type="cellIs" dxfId="63" priority="60" operator="equal">
      <formula>"Media"</formula>
    </cfRule>
    <cfRule type="cellIs" dxfId="62" priority="61" operator="equal">
      <formula>"Baja"</formula>
    </cfRule>
    <cfRule type="cellIs" dxfId="61" priority="62" operator="equal">
      <formula>"Muy Baja"</formula>
    </cfRule>
  </conditionalFormatting>
  <conditionalFormatting sqref="AA210">
    <cfRule type="cellIs" dxfId="60" priority="53" operator="equal">
      <formula>"Catastrófico"</formula>
    </cfRule>
    <cfRule type="cellIs" dxfId="59" priority="54" operator="equal">
      <formula>"Mayor"</formula>
    </cfRule>
    <cfRule type="cellIs" dxfId="58" priority="55" operator="equal">
      <formula>"Moderado"</formula>
    </cfRule>
    <cfRule type="cellIs" dxfId="57" priority="56" operator="equal">
      <formula>"Menor"</formula>
    </cfRule>
    <cfRule type="cellIs" dxfId="56" priority="57" operator="equal">
      <formula>"Leve"</formula>
    </cfRule>
  </conditionalFormatting>
  <conditionalFormatting sqref="AC210">
    <cfRule type="cellIs" dxfId="55" priority="49" operator="equal">
      <formula>"Extremo"</formula>
    </cfRule>
    <cfRule type="cellIs" dxfId="54" priority="50" operator="equal">
      <formula>"Alto"</formula>
    </cfRule>
    <cfRule type="cellIs" dxfId="53" priority="51" operator="equal">
      <formula>"Moderado"</formula>
    </cfRule>
    <cfRule type="cellIs" dxfId="52" priority="52" operator="equal">
      <formula>"Bajo"</formula>
    </cfRule>
  </conditionalFormatting>
  <conditionalFormatting sqref="N216">
    <cfRule type="cellIs" dxfId="51" priority="45" operator="equal">
      <formula>"Extremo"</formula>
    </cfRule>
    <cfRule type="cellIs" dxfId="50" priority="46" operator="equal">
      <formula>"Alto"</formula>
    </cfRule>
    <cfRule type="cellIs" dxfId="49" priority="47" operator="equal">
      <formula>"Moderado"</formula>
    </cfRule>
    <cfRule type="cellIs" dxfId="48" priority="48" operator="equal">
      <formula>"Bajo"</formula>
    </cfRule>
  </conditionalFormatting>
  <conditionalFormatting sqref="Y216">
    <cfRule type="cellIs" dxfId="47" priority="40" operator="equal">
      <formula>"Muy Alta"</formula>
    </cfRule>
    <cfRule type="cellIs" dxfId="46" priority="41" operator="equal">
      <formula>"Alta"</formula>
    </cfRule>
    <cfRule type="cellIs" dxfId="45" priority="42" operator="equal">
      <formula>"Media"</formula>
    </cfRule>
    <cfRule type="cellIs" dxfId="44" priority="43" operator="equal">
      <formula>"Baja"</formula>
    </cfRule>
    <cfRule type="cellIs" dxfId="43" priority="44" operator="equal">
      <formula>"Muy Baja"</formula>
    </cfRule>
  </conditionalFormatting>
  <conditionalFormatting sqref="AA216">
    <cfRule type="cellIs" dxfId="42" priority="35" operator="equal">
      <formula>"Catastrófico"</formula>
    </cfRule>
    <cfRule type="cellIs" dxfId="41" priority="36" operator="equal">
      <formula>"Mayor"</formula>
    </cfRule>
    <cfRule type="cellIs" dxfId="40" priority="37" operator="equal">
      <formula>"Moderado"</formula>
    </cfRule>
    <cfRule type="cellIs" dxfId="39" priority="38" operator="equal">
      <formula>"Menor"</formula>
    </cfRule>
    <cfRule type="cellIs" dxfId="38" priority="39" operator="equal">
      <formula>"Leve"</formula>
    </cfRule>
  </conditionalFormatting>
  <conditionalFormatting sqref="AC216">
    <cfRule type="cellIs" dxfId="37" priority="31" operator="equal">
      <formula>"Extremo"</formula>
    </cfRule>
    <cfRule type="cellIs" dxfId="36" priority="32" operator="equal">
      <formula>"Alto"</formula>
    </cfRule>
    <cfRule type="cellIs" dxfId="35" priority="33" operator="equal">
      <formula>"Moderado"</formula>
    </cfRule>
    <cfRule type="cellIs" dxfId="34" priority="34" operator="equal">
      <formula>"Bajo"</formula>
    </cfRule>
  </conditionalFormatting>
  <conditionalFormatting sqref="K210:K221">
    <cfRule type="containsText" dxfId="33" priority="30" operator="containsText" text="❌">
      <formula>NOT(ISERROR(SEARCH("❌",K210)))</formula>
    </cfRule>
  </conditionalFormatting>
  <conditionalFormatting sqref="H231">
    <cfRule type="cellIs" dxfId="32" priority="25" operator="equal">
      <formula>"Muy Alta"</formula>
    </cfRule>
    <cfRule type="cellIs" dxfId="31" priority="26" operator="equal">
      <formula>"Alta"</formula>
    </cfRule>
    <cfRule type="cellIs" dxfId="30" priority="27" operator="equal">
      <formula>"Media"</formula>
    </cfRule>
    <cfRule type="cellIs" dxfId="29" priority="28" operator="equal">
      <formula>"Baja"</formula>
    </cfRule>
    <cfRule type="cellIs" dxfId="28" priority="29" operator="equal">
      <formula>"Muy Baja"</formula>
    </cfRule>
  </conditionalFormatting>
  <conditionalFormatting sqref="L231">
    <cfRule type="cellIs" dxfId="27" priority="20" operator="equal">
      <formula>"Catastrófico"</formula>
    </cfRule>
    <cfRule type="cellIs" dxfId="26" priority="21" operator="equal">
      <formula>"Mayor"</formula>
    </cfRule>
    <cfRule type="cellIs" dxfId="25" priority="22" operator="equal">
      <formula>"Moderado"</formula>
    </cfRule>
    <cfRule type="cellIs" dxfId="24" priority="23" operator="equal">
      <formula>"Menor"</formula>
    </cfRule>
    <cfRule type="cellIs" dxfId="23" priority="24" operator="equal">
      <formula>"Leve"</formula>
    </cfRule>
  </conditionalFormatting>
  <conditionalFormatting sqref="N231">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231">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231">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231">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231:K236">
    <cfRule type="containsText" dxfId="4" priority="1" operator="containsText" text="❌">
      <formula>NOT(ISERROR(SEARCH("❌",K231)))</formula>
    </cfRule>
  </conditionalFormatting>
  <dataValidations count="60">
    <dataValidation type="custom" allowBlank="1" showInputMessage="1" showErrorMessage="1" error="Recuerde que las acciones se generan bajo la medida de mitigar el riesgo" sqref="AI88:AI139 AI80 AI86">
      <formula1>IF(OR(AD80=#REF!,AD80=#REF!,AD80=#REF!),ISBLANK(AD80),ISTEXT(AD80))</formula1>
    </dataValidation>
    <dataValidation type="custom" allowBlank="1" showInputMessage="1" showErrorMessage="1" error="Recuerde que las acciones se generan bajo la medida de mitigar el riesgo" sqref="AH88:AH139 AH80 AH86">
      <formula1>IF(OR(AD80=#REF!,AD80=#REF!,AD80=#REF!),ISBLANK(AD80),ISTEXT(AD80))</formula1>
    </dataValidation>
    <dataValidation type="custom" allowBlank="1" showInputMessage="1" showErrorMessage="1" error="Recuerde que las acciones se generan bajo la medida de mitigar el riesgo" sqref="AG88:AG139 AG80 AG86">
      <formula1>IF(OR(AD80=#REF!,AD80=#REF!,AD80=#REF!),ISBLANK(AD80),ISTEXT(AD80))</formula1>
    </dataValidation>
    <dataValidation type="custom" allowBlank="1" showInputMessage="1" showErrorMessage="1" error="Recuerde que las acciones se generan bajo la medida de mitigar el riesgo" sqref="AF88:AF139 AF80 AF86">
      <formula1>IF(OR(AD80=#REF!,AD80=#REF!,AD80=#REF!),ISBLANK(AD80),ISTEXT(AD80))</formula1>
    </dataValidation>
    <dataValidation type="custom" allowBlank="1" showInputMessage="1" showErrorMessage="1" error="Recuerde que las acciones se generan bajo la medida de mitigar el riesgo" sqref="AE88:AE139 AE80 AE86">
      <formula1>IF(OR(AD80=#REF!,AD80=#REF!,AD80=#REF!),ISBLANK(AD80),ISTEXT(AD80))</formula1>
    </dataValidation>
    <dataValidation type="list" allowBlank="1" showInputMessage="1" showErrorMessage="1" sqref="J80:J139">
      <formula1>#REF!</formula1>
    </dataValidation>
    <dataValidation type="list" allowBlank="1" showInputMessage="1" showErrorMessage="1" sqref="AD80 AD88:AD139 AD86">
      <formula1>#REF!</formula1>
    </dataValidation>
    <dataValidation type="list" allowBlank="1" showInputMessage="1" showErrorMessage="1" sqref="B80:B139">
      <formula1>#REF!</formula1>
    </dataValidation>
    <dataValidation type="list" allowBlank="1" showInputMessage="1" showErrorMessage="1" sqref="F80:F139">
      <formula1>#REF!</formula1>
    </dataValidation>
    <dataValidation type="list" allowBlank="1" showInputMessage="1" showErrorMessage="1" sqref="W80 W88:W139 W86">
      <formula1>#REF!</formula1>
    </dataValidation>
    <dataValidation type="list" allowBlank="1" showInputMessage="1" showErrorMessage="1" sqref="AJ86 AJ80 AJ137:AJ138 AJ89:AJ90 AJ92:AJ93 AJ95:AJ96 AJ98:AJ99 AJ101:AJ102 AJ104:AJ105 AJ107:AJ108 AJ110:AJ111 AJ113:AJ114 AJ116:AJ117 AJ119:AJ120 AJ122:AJ123 AJ125:AJ126 AJ128:AJ129 AJ131:AJ132 AJ134:AJ135">
      <formula1>#REF!</formula1>
    </dataValidation>
    <dataValidation type="list" allowBlank="1" showInputMessage="1" showErrorMessage="1" sqref="V80 V88:V139 V86">
      <formula1>#REF!</formula1>
    </dataValidation>
    <dataValidation type="list" allowBlank="1" showInputMessage="1" showErrorMessage="1" sqref="U80 U88:U139 U86">
      <formula1>#REF!</formula1>
    </dataValidation>
    <dataValidation type="list" allowBlank="1" showInputMessage="1" showErrorMessage="1" sqref="S80 S88:S139 S86">
      <formula1>#REF!</formula1>
    </dataValidation>
    <dataValidation type="list" allowBlank="1" showInputMessage="1" showErrorMessage="1" sqref="R80 R88:R139 R86">
      <formula1>#REF!</formula1>
    </dataValidation>
    <dataValidation type="custom" allowBlank="1" showInputMessage="1" showErrorMessage="1" error="Recuerde que las acciones se generan bajo la medida de mitigar el riesgo" sqref="AI150">
      <formula1>IF(OR(AD150=#REF!,AD150=#REF!,AD150=#REF!),ISBLANK(AD150),ISTEXT(AD150))</formula1>
    </dataValidation>
    <dataValidation type="custom" allowBlank="1" showInputMessage="1" showErrorMessage="1" error="Recuerde que las acciones se generan bajo la medida de mitigar el riesgo" sqref="AH150">
      <formula1>IF(OR(AD150=#REF!,AD150=#REF!,AD150=#REF!),ISBLANK(AD150),ISTEXT(AD150))</formula1>
    </dataValidation>
    <dataValidation type="custom" allowBlank="1" showInputMessage="1" showErrorMessage="1" error="Recuerde que las acciones se generan bajo la medida de mitigar el riesgo" sqref="AG150">
      <formula1>IF(OR(AD150=#REF!,AD150=#REF!,AD150=#REF!),ISBLANK(AD150),ISTEXT(AD150))</formula1>
    </dataValidation>
    <dataValidation type="custom" allowBlank="1" showInputMessage="1" showErrorMessage="1" error="Recuerde que las acciones se generan bajo la medida de mitigar el riesgo" sqref="AF150">
      <formula1>IF(OR(AD150=#REF!,AD150=#REF!,AD150=#REF!),ISBLANK(AD150),ISTEXT(AD150))</formula1>
    </dataValidation>
    <dataValidation type="custom" allowBlank="1" showInputMessage="1" showErrorMessage="1" error="Recuerde que las acciones se generan bajo la medida de mitigar el riesgo" sqref="AE150">
      <formula1>IF(OR(AD150=#REF!,AD150=#REF!,AD150=#REF!),ISBLANK(AD150),ISTEXT(AD150))</formula1>
    </dataValidation>
    <dataValidation type="list" allowBlank="1" showInputMessage="1" showErrorMessage="1" sqref="J150:J155">
      <formula1>#REF!</formula1>
    </dataValidation>
    <dataValidation type="list" allowBlank="1" showInputMessage="1" showErrorMessage="1" sqref="AD150">
      <formula1>#REF!</formula1>
    </dataValidation>
    <dataValidation type="list" allowBlank="1" showInputMessage="1" showErrorMessage="1" sqref="B150:B155">
      <formula1>#REF!</formula1>
    </dataValidation>
    <dataValidation type="list" allowBlank="1" showInputMessage="1" showErrorMessage="1" sqref="F150:F155">
      <formula1>#REF!</formula1>
    </dataValidation>
    <dataValidation type="list" allowBlank="1" showInputMessage="1" showErrorMessage="1" sqref="W150">
      <formula1>#REF!</formula1>
    </dataValidation>
    <dataValidation type="list" allowBlank="1" showInputMessage="1" showErrorMessage="1" sqref="AJ150">
      <formula1>#REF!</formula1>
    </dataValidation>
    <dataValidation type="list" allowBlank="1" showInputMessage="1" showErrorMessage="1" sqref="V150">
      <formula1>#REF!</formula1>
    </dataValidation>
    <dataValidation type="list" allowBlank="1" showInputMessage="1" showErrorMessage="1" sqref="U150">
      <formula1>#REF!</formula1>
    </dataValidation>
    <dataValidation type="list" allowBlank="1" showInputMessage="1" showErrorMessage="1" sqref="S150">
      <formula1>#REF!</formula1>
    </dataValidation>
    <dataValidation type="list" allowBlank="1" showInputMessage="1" showErrorMessage="1" sqref="R150">
      <formula1>#REF!</formula1>
    </dataValidation>
    <dataValidation type="custom" allowBlank="1" showInputMessage="1" showErrorMessage="1" error="Recuerde que las acciones se generan bajo la medida de mitigar el riesgo" sqref="AI218:AI221 AI210 AI212:AI216">
      <formula1>IF(OR(AD210=#REF!,AD210=#REF!,AD210=#REF!),ISBLANK(AD210),ISTEXT(AD210))</formula1>
    </dataValidation>
    <dataValidation type="custom" allowBlank="1" showInputMessage="1" showErrorMessage="1" error="Recuerde que las acciones se generan bajo la medida de mitigar el riesgo" sqref="AH218:AH221 AH210 AH212:AH216">
      <formula1>IF(OR(AD210=#REF!,AD210=#REF!,AD210=#REF!),ISBLANK(AD210),ISTEXT(AD210))</formula1>
    </dataValidation>
    <dataValidation type="custom" allowBlank="1" showInputMessage="1" showErrorMessage="1" error="Recuerde que las acciones se generan bajo la medida de mitigar el riesgo" sqref="AG218:AG221 AG210 AG212:AG216">
      <formula1>IF(OR(AD210=#REF!,AD210=#REF!,AD210=#REF!),ISBLANK(AD210),ISTEXT(AD210))</formula1>
    </dataValidation>
    <dataValidation type="custom" allowBlank="1" showInputMessage="1" showErrorMessage="1" error="Recuerde que las acciones se generan bajo la medida de mitigar el riesgo" sqref="AF218:AF221 AF210 AF212:AF216">
      <formula1>IF(OR(AD210=#REF!,AD210=#REF!,AD210=#REF!),ISBLANK(AD210),ISTEXT(AD210))</formula1>
    </dataValidation>
    <dataValidation type="custom" allowBlank="1" showInputMessage="1" showErrorMessage="1" error="Recuerde que las acciones se generan bajo la medida de mitigar el riesgo" sqref="AE218:AE221 AE210 AE212:AE216">
      <formula1>IF(OR(AD210=#REF!,AD210=#REF!,AD210=#REF!),ISBLANK(AD210),ISTEXT(AD210))</formula1>
    </dataValidation>
    <dataValidation type="list" allowBlank="1" showInputMessage="1" showErrorMessage="1" sqref="J210:J221">
      <formula1>#REF!</formula1>
    </dataValidation>
    <dataValidation type="list" allowBlank="1" showInputMessage="1" showErrorMessage="1" sqref="AD210 AD216">
      <formula1>#REF!</formula1>
    </dataValidation>
    <dataValidation type="list" allowBlank="1" showInputMessage="1" showErrorMessage="1" sqref="B210:B221">
      <formula1>#REF!</formula1>
    </dataValidation>
    <dataValidation type="list" allowBlank="1" showInputMessage="1" showErrorMessage="1" sqref="F210:F221">
      <formula1>#REF!</formula1>
    </dataValidation>
    <dataValidation type="list" allowBlank="1" showInputMessage="1" showErrorMessage="1" sqref="W210 W216">
      <formula1>#REF!</formula1>
    </dataValidation>
    <dataValidation type="list" allowBlank="1" showInputMessage="1" showErrorMessage="1" sqref="AJ216 AJ213:AJ214 AJ219:AJ220 AJ210">
      <formula1>#REF!</formula1>
    </dataValidation>
    <dataValidation type="list" allowBlank="1" showInputMessage="1" showErrorMessage="1" sqref="V210 V216">
      <formula1>#REF!</formula1>
    </dataValidation>
    <dataValidation type="list" allowBlank="1" showInputMessage="1" showErrorMessage="1" sqref="U210 U216">
      <formula1>#REF!</formula1>
    </dataValidation>
    <dataValidation type="list" allowBlank="1" showInputMessage="1" showErrorMessage="1" sqref="S210 S216">
      <formula1>#REF!</formula1>
    </dataValidation>
    <dataValidation type="list" allowBlank="1" showInputMessage="1" showErrorMessage="1" sqref="R210 R216">
      <formula1>#REF!</formula1>
    </dataValidation>
    <dataValidation type="custom" allowBlank="1" showInputMessage="1" showErrorMessage="1" error="Recuerde que las acciones se generan bajo la medida de mitigar el riesgo" sqref="AI231 AI233:AI236">
      <formula1>IF(OR(AD231=#REF!,AD231=#REF!,AD231=#REF!),ISBLANK(AD231),ISTEXT(AD231))</formula1>
    </dataValidation>
    <dataValidation type="custom" allowBlank="1" showInputMessage="1" showErrorMessage="1" error="Recuerde que las acciones se generan bajo la medida de mitigar el riesgo" sqref="AH231 AH233:AH236">
      <formula1>IF(OR(AD231=#REF!,AD231=#REF!,AD231=#REF!),ISBLANK(AD231),ISTEXT(AD231))</formula1>
    </dataValidation>
    <dataValidation type="custom" allowBlank="1" showInputMessage="1" showErrorMessage="1" error="Recuerde que las acciones se generan bajo la medida de mitigar el riesgo" sqref="AG231 AG233:AG236">
      <formula1>IF(OR(AD231=#REF!,AD231=#REF!,AD231=#REF!),ISBLANK(AD231),ISTEXT(AD231))</formula1>
    </dataValidation>
    <dataValidation type="custom" allowBlank="1" showInputMessage="1" showErrorMessage="1" error="Recuerde que las acciones se generan bajo la medida de mitigar el riesgo" sqref="AF231 AF233:AF236">
      <formula1>IF(OR(AD231=#REF!,AD231=#REF!,AD231=#REF!),ISBLANK(AD231),ISTEXT(AD231))</formula1>
    </dataValidation>
    <dataValidation type="custom" allowBlank="1" showInputMessage="1" showErrorMessage="1" error="Recuerde que las acciones se generan bajo la medida de mitigar el riesgo" sqref="AE231 AE233:AE236">
      <formula1>IF(OR(AD231=#REF!,AD231=#REF!,AD231=#REF!),ISBLANK(AD231),ISTEXT(AD231))</formula1>
    </dataValidation>
    <dataValidation type="list" allowBlank="1" showInputMessage="1" showErrorMessage="1" sqref="J231:J236">
      <formula1>#REF!</formula1>
    </dataValidation>
    <dataValidation type="list" allowBlank="1" showInputMessage="1" showErrorMessage="1" sqref="AD231">
      <formula1>#REF!</formula1>
    </dataValidation>
    <dataValidation type="list" allowBlank="1" showInputMessage="1" showErrorMessage="1" sqref="B231:B236">
      <formula1>#REF!</formula1>
    </dataValidation>
    <dataValidation type="list" allowBlank="1" showInputMessage="1" showErrorMessage="1" sqref="F231:F236">
      <formula1>#REF!</formula1>
    </dataValidation>
    <dataValidation type="list" allowBlank="1" showInputMessage="1" showErrorMessage="1" sqref="W231">
      <formula1>#REF!</formula1>
    </dataValidation>
    <dataValidation type="list" allowBlank="1" showInputMessage="1" showErrorMessage="1" sqref="AJ234:AJ235 AJ231">
      <formula1>#REF!</formula1>
    </dataValidation>
    <dataValidation type="list" allowBlank="1" showInputMessage="1" showErrorMessage="1" sqref="V231">
      <formula1>#REF!</formula1>
    </dataValidation>
    <dataValidation type="list" allowBlank="1" showInputMessage="1" showErrorMessage="1" sqref="U231">
      <formula1>#REF!</formula1>
    </dataValidation>
    <dataValidation type="list" allowBlank="1" showInputMessage="1" showErrorMessage="1" sqref="S231">
      <formula1>#REF!</formula1>
    </dataValidation>
    <dataValidation type="list" allowBlank="1" showInputMessage="1" showErrorMessage="1" sqref="R231">
      <formula1>#REF!</formula1>
    </dataValidation>
  </dataValidations>
  <pageMargins left="0.70866141732283472" right="0.70866141732283472" top="0.74803149606299213" bottom="0.74803149606299213" header="0.31496062992125984" footer="0.31496062992125984"/>
  <pageSetup scale="34" orientation="landscape" horizontalDpi="4294967295" verticalDpi="4294967295" r:id="rId1"/>
  <colBreaks count="1" manualBreakCount="1">
    <brk id="30" max="1048575" man="1"/>
  </colBreaks>
  <ignoredErrors>
    <ignoredError sqref="AB12" formula="1"/>
  </ignoredErrors>
  <extLst>
    <ext xmlns:x14="http://schemas.microsoft.com/office/spreadsheetml/2009/9/main" uri="{CCE6A557-97BC-4b89-ADB6-D9C93CAAB3DF}">
      <x14:dataValidations xmlns:xm="http://schemas.microsoft.com/office/excel/2006/main" count="60">
        <x14:dataValidation type="list" allowBlank="1" showInputMessage="1" showErrorMessage="1">
          <x14:formula1>
            <xm:f>'Tabla Valoración controles'!$D$4:$D$6</xm:f>
          </x14:formula1>
          <xm:sqref>R10 R12:R16 R18:R69</xm:sqref>
        </x14:dataValidation>
        <x14:dataValidation type="list" allowBlank="1" showInputMessage="1" showErrorMessage="1">
          <x14:formula1>
            <xm:f>'Tabla Valoración controles'!$D$7:$D$8</xm:f>
          </x14:formula1>
          <xm:sqref>S10 S12:S16 S18:S69</xm:sqref>
        </x14:dataValidation>
        <x14:dataValidation type="list" allowBlank="1" showInputMessage="1" showErrorMessage="1">
          <x14:formula1>
            <xm:f>'Tabla Valoración controles'!$D$9:$D$10</xm:f>
          </x14:formula1>
          <xm:sqref>U10 U12:U16 U18:U69</xm:sqref>
        </x14:dataValidation>
        <x14:dataValidation type="list" allowBlank="1" showInputMessage="1" showErrorMessage="1">
          <x14:formula1>
            <xm:f>'Tabla Valoración controles'!$D$11:$D$12</xm:f>
          </x14:formula1>
          <xm:sqref>V10 V12:V16 V18:V69</xm:sqref>
        </x14:dataValidation>
        <x14:dataValidation type="list" allowBlank="1" showInputMessage="1" showErrorMessage="1">
          <x14:formula1>
            <xm:f>'Opciones Tratamiento'!$B$9:$B$10</xm:f>
          </x14:formula1>
          <xm:sqref>AJ16 AJ13:AJ14 AJ67:AJ68 AJ19:AJ20 AJ22:AJ23 AJ25:AJ26 AJ28:AJ29 AJ31:AJ32 AJ34:AJ35 AJ37:AJ38 AJ40:AJ41 AJ43:AJ44 AJ46:AJ47 AJ49:AJ50 AJ52:AJ53 AJ55:AJ56 AJ58:AJ59 AJ61:AJ62 AJ64:AJ65 AJ10</xm:sqref>
        </x14:dataValidation>
        <x14:dataValidation type="list" allowBlank="1" showInputMessage="1" showErrorMessage="1">
          <x14:formula1>
            <xm:f>'Tabla Valoración controles'!$D$13:$D$14</xm:f>
          </x14:formula1>
          <xm:sqref>W10 W12:W16 W18:W69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 AD12:AD16 AD18:AD69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AE18:AE69 AE10 AE12:AE16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AF18:AF69 AF10 AF12:AF16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AG18:AG69 AG10 AG12:AG16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AH18:AH69 AH10 AH12:AH16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AI18:AI69 AI10 AI12:AI16</xm:sqref>
        </x14:dataValidation>
        <x14:dataValidation type="custom" allowBlank="1" showInputMessage="1" showErrorMessage="1" error="Recuerde que las acciones se generan bajo la medida de mitigar el riesgo">
          <x14:formula1>
            <xm:f>IF(OR(AD165='G:\Plan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Tratamiento'!#REF!),ISBLANK(AD165),ISTEXT(AD165))</xm:f>
          </x14:formula1>
          <xm:sqref>AI165 AI167:AI170</xm:sqref>
        </x14:dataValidation>
        <x14:dataValidation type="custom" allowBlank="1" showInputMessage="1" showErrorMessage="1" error="Recuerde que las acciones se generan bajo la medida de mitigar el riesgo">
          <x14:formula1>
            <xm:f>IF(OR(AD165='G:\Plan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Tratamiento'!#REF!),ISBLANK(AD165),ISTEXT(AD165))</xm:f>
          </x14:formula1>
          <xm:sqref>AH165 AH167:AH170</xm:sqref>
        </x14:dataValidation>
        <x14:dataValidation type="custom" allowBlank="1" showInputMessage="1" showErrorMessage="1" error="Recuerde que las acciones se generan bajo la medida de mitigar el riesgo">
          <x14:formula1>
            <xm:f>IF(OR(AD165='G:\Plan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Tratamiento'!#REF!),ISBLANK(AD165),ISTEXT(AD165))</xm:f>
          </x14:formula1>
          <xm:sqref>AG165 AG167:AG170</xm:sqref>
        </x14:dataValidation>
        <x14:dataValidation type="custom" allowBlank="1" showInputMessage="1" showErrorMessage="1" error="Recuerde que las acciones se generan bajo la medida de mitigar el riesgo">
          <x14:formula1>
            <xm:f>IF(OR(AD165='G:\Plan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Tratamiento'!#REF!),ISBLANK(AD165),ISTEXT(AD165))</xm:f>
          </x14:formula1>
          <xm:sqref>AF165 AF167:AF170</xm:sqref>
        </x14:dataValidation>
        <x14:dataValidation type="custom" allowBlank="1" showInputMessage="1" showErrorMessage="1" error="Recuerde que las acciones se generan bajo la medida de mitigar el riesgo">
          <x14:formula1>
            <xm:f>IF(OR(AD165='G:\Plan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Tratamiento'!#REF!,AD165='G:\Plan Anticorrupción y Atenc al Ciudadano PAAC\2023\Riesgos Version 5 guia DAFP\CORRUPCION\[Mapa Riesgos de Corrupcion FC 2022.xlsx]Opciones Tratamiento'!#REF!),ISBLANK(AD165),ISTEXT(AD165))</xm:f>
          </x14:formula1>
          <xm:sqref>AE165 AE167:AE170</xm:sqref>
        </x14:dataValidation>
        <x14:dataValidation type="list" allowBlank="1" showInputMessage="1" showErrorMessage="1">
          <x14:formula1>
            <xm:f>'G:\Plan Anticorrupción y Atenc al Ciudadano PAAC\2023\Riesgos Version 5 guia DAFP\CORRUPCION\[Mapa Riesgos de Corrupcion FC 2022.xlsx]Tabla Impacto'!#REF!</xm:f>
          </x14:formula1>
          <xm:sqref>J165:J170</xm:sqref>
        </x14:dataValidation>
        <x14:dataValidation type="list" allowBlank="1" showInputMessage="1" showErrorMessage="1">
          <x14:formula1>
            <xm:f>'G:\Plan Anticorrupción y Atenc al Ciudadano PAAC\2023\Riesgos Version 5 guia DAFP\CORRUPCION\[Mapa Riesgos de Corrupcion FC 2022.xlsx]Opciones Tratamiento'!#REF!</xm:f>
          </x14:formula1>
          <xm:sqref>AD165:AD170</xm:sqref>
        </x14:dataValidation>
        <x14:dataValidation type="list" allowBlank="1" showInputMessage="1" showErrorMessage="1">
          <x14:formula1>
            <xm:f>'G:\Plan Anticorrupción y Atenc al Ciudadano PAAC\2023\Riesgos Version 5 guia DAFP\CORRUPCION\[Mapa Riesgos de Corrupcion FC 2022.xlsx]Opciones Tratamiento'!#REF!</xm:f>
          </x14:formula1>
          <xm:sqref>B165:B170</xm:sqref>
        </x14:dataValidation>
        <x14:dataValidation type="list" allowBlank="1" showInputMessage="1" showErrorMessage="1">
          <x14:formula1>
            <xm:f>'G:\Plan Anticorrupción y Atenc al Ciudadano PAAC\2023\Riesgos Version 5 guia DAFP\CORRUPCION\[Mapa Riesgos de Corrupcion FC 2022.xlsx]Opciones Tratamiento'!#REF!</xm:f>
          </x14:formula1>
          <xm:sqref>F165:F170</xm:sqref>
        </x14:dataValidation>
        <x14:dataValidation type="list" allowBlank="1" showInputMessage="1" showErrorMessage="1">
          <x14:formula1>
            <xm:f>'G:\Plan Anticorrupción y Atenc al Ciudadano PAAC\2023\Riesgos Version 5 guia DAFP\CORRUPCION\[Mapa Riesgos de Corrupcion FC 2022.xlsx]Tabla Valoración controles'!#REF!</xm:f>
          </x14:formula1>
          <xm:sqref>W165:W170</xm:sqref>
        </x14:dataValidation>
        <x14:dataValidation type="list" allowBlank="1" showInputMessage="1" showErrorMessage="1">
          <x14:formula1>
            <xm:f>'G:\Plan Anticorrupción y Atenc al Ciudadano PAAC\2023\Riesgos Version 5 guia DAFP\CORRUPCION\[Mapa Riesgos de Corrupcion FC 2022.xlsx]Opciones Tratamiento'!#REF!</xm:f>
          </x14:formula1>
          <xm:sqref>AJ168:AJ169 AJ165</xm:sqref>
        </x14:dataValidation>
        <x14:dataValidation type="list" allowBlank="1" showInputMessage="1" showErrorMessage="1">
          <x14:formula1>
            <xm:f>'G:\Plan Anticorrupción y Atenc al Ciudadano PAAC\2023\Riesgos Version 5 guia DAFP\CORRUPCION\[Mapa Riesgos de Corrupcion FC 2022.xlsx]Tabla Valoración controles'!#REF!</xm:f>
          </x14:formula1>
          <xm:sqref>V165:V170</xm:sqref>
        </x14:dataValidation>
        <x14:dataValidation type="list" allowBlank="1" showInputMessage="1" showErrorMessage="1">
          <x14:formula1>
            <xm:f>'G:\Plan Anticorrupción y Atenc al Ciudadano PAAC\2023\Riesgos Version 5 guia DAFP\CORRUPCION\[Mapa Riesgos de Corrupcion FC 2022.xlsx]Tabla Valoración controles'!#REF!</xm:f>
          </x14:formula1>
          <xm:sqref>U165:U170</xm:sqref>
        </x14:dataValidation>
        <x14:dataValidation type="list" allowBlank="1" showInputMessage="1" showErrorMessage="1">
          <x14:formula1>
            <xm:f>'G:\Plan Anticorrupción y Atenc al Ciudadano PAAC\2023\Riesgos Version 5 guia DAFP\CORRUPCION\[Mapa Riesgos de Corrupcion FC 2022.xlsx]Tabla Valoración controles'!#REF!</xm:f>
          </x14:formula1>
          <xm:sqref>S165:S170</xm:sqref>
        </x14:dataValidation>
        <x14:dataValidation type="list" allowBlank="1" showInputMessage="1" showErrorMessage="1">
          <x14:formula1>
            <xm:f>'G:\Plan Anticorrupción y Atenc al Ciudadano PAAC\2023\Riesgos Version 5 guia DAFP\CORRUPCION\[Mapa Riesgos de Corrupcion FC 2022.xlsx]Tabla Valoración controles'!#REF!</xm:f>
          </x14:formula1>
          <xm:sqref>R165:R170</xm:sqref>
        </x14:dataValidation>
        <x14:dataValidation type="custom" allowBlank="1" showInputMessage="1" showErrorMessage="1" error="Recuerde que las acciones se generan bajo la medida de mitigar el riesgo">
          <x14:formula1>
            <xm:f>IF(OR(AD180='G:\Plan Anticorrupción y Atenc al Ciudadano PAAC\2023\Riesgos Version 5 guia DAFP\CORRUPCION\[Mapa Riesgos de Corrupcion Financiera 2022.xlsx]Opciones Tratamiento'!#REF!,AD180='G:\Plan Anticorrupción y Atenc al Ciudadano PAAC\2023\Riesgos Version 5 guia DAFP\CORRUPCION\[Mapa Riesgos de Corrupcion Financiera 2022.xlsx]Opciones Tratamiento'!#REF!,AD180='G:\Plan Anticorrupción y Atenc al Ciudadano PAAC\2023\Riesgos Version 5 guia DAFP\CORRUPCION\[Mapa Riesgos de Corrupcion Financiera 2022.xlsx]Opciones Tratamiento'!#REF!),ISBLANK(AD180),ISTEXT(AD180))</xm:f>
          </x14:formula1>
          <xm:sqref>AI180 AI182:AI185</xm:sqref>
        </x14:dataValidation>
        <x14:dataValidation type="custom" allowBlank="1" showInputMessage="1" showErrorMessage="1" error="Recuerde que las acciones se generan bajo la medida de mitigar el riesgo">
          <x14:formula1>
            <xm:f>IF(OR(AC180='G:\Plan Anticorrupción y Atenc al Ciudadano PAAC\2023\Riesgos Version 5 guia DAFP\CORRUPCION\[Mapa Riesgos de Corrupcion Financiera 2022.xlsx]Opciones Tratamiento'!#REF!,AC180='G:\Plan Anticorrupción y Atenc al Ciudadano PAAC\2023\Riesgos Version 5 guia DAFP\CORRUPCION\[Mapa Riesgos de Corrupcion Financiera 2022.xlsx]Opciones Tratamiento'!#REF!,AC180='G:\Plan Anticorrupción y Atenc al Ciudadano PAAC\2023\Riesgos Version 5 guia DAFP\CORRUPCION\[Mapa Riesgos de Corrupcion Financiera 2022.xlsx]Opciones Tratamiento'!#REF!),ISBLANK(AC180),ISTEXT(AC180))</xm:f>
          </x14:formula1>
          <xm:sqref>AG180:AH180 AH182:AH185</xm:sqref>
        </x14:dataValidation>
        <x14:dataValidation type="custom" allowBlank="1" showInputMessage="1" showErrorMessage="1" error="Recuerde que las acciones se generan bajo la medida de mitigar el riesgo">
          <x14:formula1>
            <xm:f>IF(OR(AD182='G:\Plan Anticorrupción y Atenc al Ciudadano PAAC\2023\Riesgos Version 5 guia DAFP\CORRUPCION\[Mapa Riesgos de Corrupcion Financiera 2022.xlsx]Opciones Tratamiento'!#REF!,AD182='G:\Plan Anticorrupción y Atenc al Ciudadano PAAC\2023\Riesgos Version 5 guia DAFP\CORRUPCION\[Mapa Riesgos de Corrupcion Financiera 2022.xlsx]Opciones Tratamiento'!#REF!,AD182='G:\Plan Anticorrupción y Atenc al Ciudadano PAAC\2023\Riesgos Version 5 guia DAFP\CORRUPCION\[Mapa Riesgos de Corrupcion Financiera 2022.xlsx]Opciones Tratamiento'!#REF!),ISBLANK(AD182),ISTEXT(AD182))</xm:f>
          </x14:formula1>
          <xm:sqref>AG182:AG185</xm:sqref>
        </x14:dataValidation>
        <x14:dataValidation type="custom" allowBlank="1" showInputMessage="1" showErrorMessage="1" error="Recuerde que las acciones se generan bajo la medida de mitigar el riesgo">
          <x14:formula1>
            <xm:f>IF(OR(AD180='G:\Plan Anticorrupción y Atenc al Ciudadano PAAC\2023\Riesgos Version 5 guia DAFP\CORRUPCION\[Mapa Riesgos de Corrupcion Financiera 2022.xlsx]Opciones Tratamiento'!#REF!,AD180='G:\Plan Anticorrupción y Atenc al Ciudadano PAAC\2023\Riesgos Version 5 guia DAFP\CORRUPCION\[Mapa Riesgos de Corrupcion Financiera 2022.xlsx]Opciones Tratamiento'!#REF!,AD180='G:\Plan Anticorrupción y Atenc al Ciudadano PAAC\2023\Riesgos Version 5 guia DAFP\CORRUPCION\[Mapa Riesgos de Corrupcion Financiera 2022.xlsx]Opciones Tratamiento'!#REF!),ISBLANK(AD180),ISTEXT(AD180))</xm:f>
          </x14:formula1>
          <xm:sqref>AF180 AF182:AF185</xm:sqref>
        </x14:dataValidation>
        <x14:dataValidation type="custom" allowBlank="1" showInputMessage="1" showErrorMessage="1" error="Recuerde que las acciones se generan bajo la medida de mitigar el riesgo">
          <x14:formula1>
            <xm:f>IF(OR(AD180='G:\Plan Anticorrupción y Atenc al Ciudadano PAAC\2023\Riesgos Version 5 guia DAFP\CORRUPCION\[Mapa Riesgos de Corrupcion Financiera 2022.xlsx]Opciones Tratamiento'!#REF!,AD180='G:\Plan Anticorrupción y Atenc al Ciudadano PAAC\2023\Riesgos Version 5 guia DAFP\CORRUPCION\[Mapa Riesgos de Corrupcion Financiera 2022.xlsx]Opciones Tratamiento'!#REF!,AD180='G:\Plan Anticorrupción y Atenc al Ciudadano PAAC\2023\Riesgos Version 5 guia DAFP\CORRUPCION\[Mapa Riesgos de Corrupcion Financiera 2022.xlsx]Opciones Tratamiento'!#REF!),ISBLANK(AD180),ISTEXT(AD180))</xm:f>
          </x14:formula1>
          <xm:sqref>AE180 AE182:AE185</xm:sqref>
        </x14:dataValidation>
        <x14:dataValidation type="list" allowBlank="1" showInputMessage="1" showErrorMessage="1">
          <x14:formula1>
            <xm:f>'G:\Plan Anticorrupción y Atenc al Ciudadano PAAC\2023\Riesgos Version 5 guia DAFP\CORRUPCION\[Mapa Riesgos de Corrupcion Financiera 2022.xlsx]Tabla Impacto'!#REF!</xm:f>
          </x14:formula1>
          <xm:sqref>J180:J185</xm:sqref>
        </x14:dataValidation>
        <x14:dataValidation type="list" allowBlank="1" showInputMessage="1" showErrorMessage="1">
          <x14:formula1>
            <xm:f>'G:\Plan Anticorrupción y Atenc al Ciudadano PAAC\2023\Riesgos Version 5 guia DAFP\CORRUPCION\[Mapa Riesgos de Corrupcion Financiera 2022.xlsx]Opciones Tratamiento'!#REF!</xm:f>
          </x14:formula1>
          <xm:sqref>AD180:AD185</xm:sqref>
        </x14:dataValidation>
        <x14:dataValidation type="list" allowBlank="1" showInputMessage="1" showErrorMessage="1">
          <x14:formula1>
            <xm:f>'G:\Plan Anticorrupción y Atenc al Ciudadano PAAC\2023\Riesgos Version 5 guia DAFP\CORRUPCION\[Mapa Riesgos de Corrupcion Financiera 2022.xlsx]Opciones Tratamiento'!#REF!</xm:f>
          </x14:formula1>
          <xm:sqref>B180:B185</xm:sqref>
        </x14:dataValidation>
        <x14:dataValidation type="list" allowBlank="1" showInputMessage="1" showErrorMessage="1">
          <x14:formula1>
            <xm:f>'G:\Plan Anticorrupción y Atenc al Ciudadano PAAC\2023\Riesgos Version 5 guia DAFP\CORRUPCION\[Mapa Riesgos de Corrupcion Financiera 2022.xlsx]Opciones Tratamiento'!#REF!</xm:f>
          </x14:formula1>
          <xm:sqref>F180:F185</xm:sqref>
        </x14:dataValidation>
        <x14:dataValidation type="list" allowBlank="1" showInputMessage="1" showErrorMessage="1">
          <x14:formula1>
            <xm:f>'G:\Plan Anticorrupción y Atenc al Ciudadano PAAC\2023\Riesgos Version 5 guia DAFP\CORRUPCION\[Mapa Riesgos de Corrupcion Financiera 2022.xlsx]Tabla Valoración controles'!#REF!</xm:f>
          </x14:formula1>
          <xm:sqref>W180:W185</xm:sqref>
        </x14:dataValidation>
        <x14:dataValidation type="list" allowBlank="1" showInputMessage="1" showErrorMessage="1">
          <x14:formula1>
            <xm:f>'G:\Plan Anticorrupción y Atenc al Ciudadano PAAC\2023\Riesgos Version 5 guia DAFP\CORRUPCION\[Mapa Riesgos de Corrupcion Financiera 2022.xlsx]Opciones Tratamiento'!#REF!</xm:f>
          </x14:formula1>
          <xm:sqref>AJ183:AJ184 AJ180</xm:sqref>
        </x14:dataValidation>
        <x14:dataValidation type="list" allowBlank="1" showInputMessage="1" showErrorMessage="1">
          <x14:formula1>
            <xm:f>'G:\Plan Anticorrupción y Atenc al Ciudadano PAAC\2023\Riesgos Version 5 guia DAFP\CORRUPCION\[Mapa Riesgos de Corrupcion Financiera 2022.xlsx]Tabla Valoración controles'!#REF!</xm:f>
          </x14:formula1>
          <xm:sqref>V180:V185</xm:sqref>
        </x14:dataValidation>
        <x14:dataValidation type="list" allowBlank="1" showInputMessage="1" showErrorMessage="1">
          <x14:formula1>
            <xm:f>'G:\Plan Anticorrupción y Atenc al Ciudadano PAAC\2023\Riesgos Version 5 guia DAFP\CORRUPCION\[Mapa Riesgos de Corrupcion Financiera 2022.xlsx]Tabla Valoración controles'!#REF!</xm:f>
          </x14:formula1>
          <xm:sqref>U180:U185</xm:sqref>
        </x14:dataValidation>
        <x14:dataValidation type="list" allowBlank="1" showInputMessage="1" showErrorMessage="1">
          <x14:formula1>
            <xm:f>'G:\Plan Anticorrupción y Atenc al Ciudadano PAAC\2023\Riesgos Version 5 guia DAFP\CORRUPCION\[Mapa Riesgos de Corrupcion Financiera 2022.xlsx]Tabla Valoración controles'!#REF!</xm:f>
          </x14:formula1>
          <xm:sqref>S180:S185</xm:sqref>
        </x14:dataValidation>
        <x14:dataValidation type="list" allowBlank="1" showInputMessage="1" showErrorMessage="1">
          <x14:formula1>
            <xm:f>'G:\Plan Anticorrupción y Atenc al Ciudadano PAAC\2023\Riesgos Version 5 guia DAFP\CORRUPCION\[Mapa Riesgos de Corrupcion Financiera 2022.xlsx]Tabla Valoración controles'!#REF!</xm:f>
          </x14:formula1>
          <xm:sqref>R180:R185</xm:sqref>
        </x14:dataValidation>
        <x14:dataValidation type="list" allowBlank="1" showInputMessage="1" showErrorMessage="1">
          <x14:formula1>
            <xm:f>'G:\Plan Anticorrupción y Atenc al Ciudadano PAAC\2023\Riesgos Version 5 guia DAFP\CORRUPCION\[Mapa Riesgos Legal Corrupción.xlsx]Tabla Impacto'!#REF!</xm:f>
          </x14:formula1>
          <xm:sqref>J195:J200</xm:sqref>
        </x14:dataValidation>
        <x14:dataValidation type="list" allowBlank="1" showInputMessage="1" showErrorMessage="1">
          <x14:formula1>
            <xm:f>'G:\Plan Anticorrupción y Atenc al Ciudadano PAAC\2023\Riesgos Version 5 guia DAFP\CORRUPCION\[Mapa Riesgos Legal Corrupción.xlsx]Opciones Tratamiento'!#REF!</xm:f>
          </x14:formula1>
          <xm:sqref>B195:B200</xm:sqref>
        </x14:dataValidation>
        <x14:dataValidation type="list" allowBlank="1" showInputMessage="1" showErrorMessage="1">
          <x14:formula1>
            <xm:f>'G:\Plan Anticorrupción y Atenc al Ciudadano PAAC\2023\Riesgos Version 5 guia DAFP\CORRUPCION\[Mapa Riesgos Legal Corrupción.xlsx]Opciones Tratamiento'!#REF!</xm:f>
          </x14:formula1>
          <xm:sqref>F195:F200</xm:sqref>
        </x14:dataValidation>
        <x14:dataValidation type="custom" allowBlank="1" showInputMessage="1" showErrorMessage="1" error="Recuerde que las acciones se generan bajo la medida de mitigar el riesgo">
          <x14:formula1>
            <xm:f>IF(OR(AD195='G:\Plan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Tratamiento'!#REF!),ISBLANK(AD195),ISTEXT(AD195))</xm:f>
          </x14:formula1>
          <xm:sqref>AI195 AI197:AI200</xm:sqref>
        </x14:dataValidation>
        <x14:dataValidation type="custom" allowBlank="1" showInputMessage="1" showErrorMessage="1" error="Recuerde que las acciones se generan bajo la medida de mitigar el riesgo">
          <x14:formula1>
            <xm:f>IF(OR(AD195='G:\Plan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Tratamiento'!#REF!),ISBLANK(AD195),ISTEXT(AD195))</xm:f>
          </x14:formula1>
          <xm:sqref>AH195 AH197:AH200</xm:sqref>
        </x14:dataValidation>
        <x14:dataValidation type="custom" allowBlank="1" showInputMessage="1" showErrorMessage="1" error="Recuerde que las acciones se generan bajo la medida de mitigar el riesgo">
          <x14:formula1>
            <xm:f>IF(OR(AD195='G:\Plan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Tratamiento'!#REF!),ISBLANK(AD195),ISTEXT(AD195))</xm:f>
          </x14:formula1>
          <xm:sqref>AG195 AG197:AG200</xm:sqref>
        </x14:dataValidation>
        <x14:dataValidation type="custom" allowBlank="1" showInputMessage="1" showErrorMessage="1" error="Recuerde que las acciones se generan bajo la medida de mitigar el riesgo">
          <x14:formula1>
            <xm:f>IF(OR(AD195='G:\Plan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Tratamiento'!#REF!),ISBLANK(AD195),ISTEXT(AD195))</xm:f>
          </x14:formula1>
          <xm:sqref>AF195 AF197:AF200</xm:sqref>
        </x14:dataValidation>
        <x14:dataValidation type="custom" allowBlank="1" showInputMessage="1" showErrorMessage="1" error="Recuerde que las acciones se generan bajo la medida de mitigar el riesgo">
          <x14:formula1>
            <xm:f>IF(OR(AD195='G:\Plan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Tratamiento'!#REF!,AD195='G:\Plan Anticorrupción y Atenc al Ciudadano PAAC\2023\Riesgos Version 5 guia DAFP\CORRUPCION\[Mapa Riesgos Legal Corrupción.xlsx]Opciones Tratamiento'!#REF!),ISBLANK(AD195),ISTEXT(AD195))</xm:f>
          </x14:formula1>
          <xm:sqref>AE195 AE197:AE200</xm:sqref>
        </x14:dataValidation>
        <x14:dataValidation type="list" allowBlank="1" showInputMessage="1" showErrorMessage="1">
          <x14:formula1>
            <xm:f>'G:\Plan Anticorrupción y Atenc al Ciudadano PAAC\2023\Riesgos Version 5 guia DAFP\CORRUPCION\[Mapa Riesgos Legal Corrupción.xlsx]Opciones Tratamiento'!#REF!</xm:f>
          </x14:formula1>
          <xm:sqref>AD195 AD197:AD200</xm:sqref>
        </x14:dataValidation>
        <x14:dataValidation type="list" allowBlank="1" showInputMessage="1" showErrorMessage="1">
          <x14:formula1>
            <xm:f>'G:\Plan Anticorrupción y Atenc al Ciudadano PAAC\2023\Riesgos Version 5 guia DAFP\CORRUPCION\[Mapa Riesgos Legal Corrupción.xlsx]Tabla Valoración controles'!#REF!</xm:f>
          </x14:formula1>
          <xm:sqref>W195 W197:W200</xm:sqref>
        </x14:dataValidation>
        <x14:dataValidation type="list" allowBlank="1" showInputMessage="1" showErrorMessage="1">
          <x14:formula1>
            <xm:f>'G:\Plan Anticorrupción y Atenc al Ciudadano PAAC\2023\Riesgos Version 5 guia DAFP\CORRUPCION\[Mapa Riesgos Legal Corrupción.xlsx]Opciones Tratamiento'!#REF!</xm:f>
          </x14:formula1>
          <xm:sqref>AJ198:AJ199 AJ195</xm:sqref>
        </x14:dataValidation>
        <x14:dataValidation type="list" allowBlank="1" showInputMessage="1" showErrorMessage="1">
          <x14:formula1>
            <xm:f>'G:\Plan Anticorrupción y Atenc al Ciudadano PAAC\2023\Riesgos Version 5 guia DAFP\CORRUPCION\[Mapa Riesgos Legal Corrupción.xlsx]Tabla Valoración controles'!#REF!</xm:f>
          </x14:formula1>
          <xm:sqref>V195 V197:V200</xm:sqref>
        </x14:dataValidation>
        <x14:dataValidation type="list" allowBlank="1" showInputMessage="1" showErrorMessage="1">
          <x14:formula1>
            <xm:f>'G:\Plan Anticorrupción y Atenc al Ciudadano PAAC\2023\Riesgos Version 5 guia DAFP\CORRUPCION\[Mapa Riesgos Legal Corrupción.xlsx]Tabla Valoración controles'!#REF!</xm:f>
          </x14:formula1>
          <xm:sqref>U195 U197:U200</xm:sqref>
        </x14:dataValidation>
        <x14:dataValidation type="list" allowBlank="1" showInputMessage="1" showErrorMessage="1">
          <x14:formula1>
            <xm:f>'G:\Plan Anticorrupción y Atenc al Ciudadano PAAC\2023\Riesgos Version 5 guia DAFP\CORRUPCION\[Mapa Riesgos Legal Corrupción.xlsx]Tabla Valoración controles'!#REF!</xm:f>
          </x14:formula1>
          <xm:sqref>S195 S197:S200</xm:sqref>
        </x14:dataValidation>
        <x14:dataValidation type="list" allowBlank="1" showInputMessage="1" showErrorMessage="1">
          <x14:formula1>
            <xm:f>'G:\Plan Anticorrupción y Atenc al Ciudadano PAAC\2023\Riesgos Version 5 guia DAFP\CORRUPCION\[Mapa Riesgos Legal Corrupción.xlsx]Tabla Valoración controles'!#REF!</xm:f>
          </x14:formula1>
          <xm:sqref>R195 R197:R200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P30" sqref="P30:Q31"/>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67" t="s">
        <v>159</v>
      </c>
      <c r="C2" s="467"/>
      <c r="D2" s="467"/>
      <c r="E2" s="467"/>
      <c r="F2" s="467"/>
      <c r="G2" s="467"/>
      <c r="H2" s="467"/>
      <c r="I2" s="467"/>
      <c r="J2" s="434" t="s">
        <v>2</v>
      </c>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67"/>
      <c r="C3" s="467"/>
      <c r="D3" s="467"/>
      <c r="E3" s="467"/>
      <c r="F3" s="467"/>
      <c r="G3" s="467"/>
      <c r="H3" s="467"/>
      <c r="I3" s="467"/>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67"/>
      <c r="C4" s="467"/>
      <c r="D4" s="467"/>
      <c r="E4" s="467"/>
      <c r="F4" s="467"/>
      <c r="G4" s="467"/>
      <c r="H4" s="467"/>
      <c r="I4" s="467"/>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380" t="s">
        <v>4</v>
      </c>
      <c r="C6" s="380"/>
      <c r="D6" s="381"/>
      <c r="E6" s="418" t="s">
        <v>116</v>
      </c>
      <c r="F6" s="419"/>
      <c r="G6" s="419"/>
      <c r="H6" s="419"/>
      <c r="I6" s="420"/>
      <c r="J6" s="430" t="str">
        <f ca="1">IF(AND('Mapa Instituc Corrupc 2023'!$H$10="Muy Alta",'Mapa Instituc Corrupc 2023'!$L$10="Leve"),CONCATENATE("R",'Mapa Instituc Corrupc 2023'!$A$10),"")</f>
        <v/>
      </c>
      <c r="K6" s="431"/>
      <c r="L6" s="431" t="str">
        <f ca="1">IF(AND('Mapa Instituc Corrupc 2023'!$H$16="Muy Alta",'Mapa Instituc Corrupc 2023'!$L$16="Leve"),CONCATENATE("R",'Mapa Instituc Corrupc 2023'!$A$16),"")</f>
        <v/>
      </c>
      <c r="M6" s="431"/>
      <c r="N6" s="431" t="str">
        <f ca="1">IF(AND('Mapa Instituc Corrupc 2023'!$H$22="Muy Alta",'Mapa Instituc Corrupc 2023'!$L$22="Leve"),CONCATENATE("R",'Mapa Instituc Corrupc 2023'!$A$22),"")</f>
        <v/>
      </c>
      <c r="O6" s="433"/>
      <c r="P6" s="430" t="str">
        <f ca="1">IF(AND('Mapa Instituc Corrupc 2023'!$H$10="Muy Alta",'Mapa Instituc Corrupc 2023'!$L$10="Menor"),CONCATENATE("R",'Mapa Instituc Corrupc 2023'!$A$10),"")</f>
        <v/>
      </c>
      <c r="Q6" s="431"/>
      <c r="R6" s="431" t="str">
        <f ca="1">IF(AND('Mapa Instituc Corrupc 2023'!$H$16="Muy Alta",'Mapa Instituc Corrupc 2023'!$L$16="Menor"),CONCATENATE("R",'Mapa Instituc Corrupc 2023'!$A$16),"")</f>
        <v/>
      </c>
      <c r="S6" s="431"/>
      <c r="T6" s="431" t="str">
        <f ca="1">IF(AND('Mapa Instituc Corrupc 2023'!$H$22="Muy Alta",'Mapa Instituc Corrupc 2023'!$L$22="Menor"),CONCATENATE("R",'Mapa Instituc Corrupc 2023'!$A$22),"")</f>
        <v/>
      </c>
      <c r="U6" s="433"/>
      <c r="V6" s="430" t="str">
        <f ca="1">IF(AND('Mapa Instituc Corrupc 2023'!$H$10="Muy Alta",'Mapa Instituc Corrupc 2023'!$L$10="Moderado"),CONCATENATE("R",'Mapa Instituc Corrupc 2023'!$A$10),"")</f>
        <v/>
      </c>
      <c r="W6" s="431"/>
      <c r="X6" s="431" t="str">
        <f ca="1">IF(AND('Mapa Instituc Corrupc 2023'!$H$16="Muy Alta",'Mapa Instituc Corrupc 2023'!$L$16="Moderado"),CONCATENATE("R",'Mapa Instituc Corrupc 2023'!$A$16),"")</f>
        <v/>
      </c>
      <c r="Y6" s="431"/>
      <c r="Z6" s="431" t="str">
        <f ca="1">IF(AND('Mapa Instituc Corrupc 2023'!$H$22="Muy Alta",'Mapa Instituc Corrupc 2023'!$L$22="Moderado"),CONCATENATE("R",'Mapa Instituc Corrupc 2023'!$A$22),"")</f>
        <v/>
      </c>
      <c r="AA6" s="433"/>
      <c r="AB6" s="430" t="str">
        <f ca="1">IF(AND('Mapa Instituc Corrupc 2023'!$H$10="Muy Alta",'Mapa Instituc Corrupc 2023'!$L$10="Mayor"),CONCATENATE("R",'Mapa Instituc Corrupc 2023'!$A$10),"")</f>
        <v/>
      </c>
      <c r="AC6" s="431"/>
      <c r="AD6" s="431" t="str">
        <f ca="1">IF(AND('Mapa Instituc Corrupc 2023'!$H$16="Muy Alta",'Mapa Instituc Corrupc 2023'!$L$16="Mayor"),CONCATENATE("R",'Mapa Instituc Corrupc 2023'!$A$16),"")</f>
        <v/>
      </c>
      <c r="AE6" s="431"/>
      <c r="AF6" s="431" t="str">
        <f ca="1">IF(AND('Mapa Instituc Corrupc 2023'!$H$22="Muy Alta",'Mapa Instituc Corrupc 2023'!$L$22="Mayor"),CONCATENATE("R",'Mapa Instituc Corrupc 2023'!$A$22),"")</f>
        <v/>
      </c>
      <c r="AG6" s="433"/>
      <c r="AH6" s="446" t="str">
        <f ca="1">IF(AND('Mapa Instituc Corrupc 2023'!$H$10="Muy Alta",'Mapa Instituc Corrupc 2023'!$L$10="Catastrófico"),CONCATENATE("R",'Mapa Instituc Corrupc 2023'!$A$10),"")</f>
        <v/>
      </c>
      <c r="AI6" s="447"/>
      <c r="AJ6" s="447" t="str">
        <f ca="1">IF(AND('Mapa Instituc Corrupc 2023'!$H$16="Muy Alta",'Mapa Instituc Corrupc 2023'!$L$16="Catastrófico"),CONCATENATE("R",'Mapa Instituc Corrupc 2023'!$A$16),"")</f>
        <v/>
      </c>
      <c r="AK6" s="447"/>
      <c r="AL6" s="447" t="str">
        <f ca="1">IF(AND('Mapa Instituc Corrupc 2023'!$H$22="Muy Alta",'Mapa Instituc Corrupc 2023'!$L$22="Catastrófico"),CONCATENATE("R",'Mapa Instituc Corrupc 2023'!$A$22),"")</f>
        <v/>
      </c>
      <c r="AM6" s="448"/>
      <c r="AO6" s="382" t="s">
        <v>79</v>
      </c>
      <c r="AP6" s="383"/>
      <c r="AQ6" s="383"/>
      <c r="AR6" s="383"/>
      <c r="AS6" s="383"/>
      <c r="AT6" s="38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380"/>
      <c r="C7" s="380"/>
      <c r="D7" s="381"/>
      <c r="E7" s="421"/>
      <c r="F7" s="422"/>
      <c r="G7" s="422"/>
      <c r="H7" s="422"/>
      <c r="I7" s="423"/>
      <c r="J7" s="432"/>
      <c r="K7" s="429"/>
      <c r="L7" s="429"/>
      <c r="M7" s="429"/>
      <c r="N7" s="429"/>
      <c r="O7" s="428"/>
      <c r="P7" s="432"/>
      <c r="Q7" s="429"/>
      <c r="R7" s="429"/>
      <c r="S7" s="429"/>
      <c r="T7" s="429"/>
      <c r="U7" s="428"/>
      <c r="V7" s="432"/>
      <c r="W7" s="429"/>
      <c r="X7" s="429"/>
      <c r="Y7" s="429"/>
      <c r="Z7" s="429"/>
      <c r="AA7" s="428"/>
      <c r="AB7" s="432"/>
      <c r="AC7" s="429"/>
      <c r="AD7" s="429"/>
      <c r="AE7" s="429"/>
      <c r="AF7" s="429"/>
      <c r="AG7" s="428"/>
      <c r="AH7" s="440"/>
      <c r="AI7" s="441"/>
      <c r="AJ7" s="441"/>
      <c r="AK7" s="441"/>
      <c r="AL7" s="441"/>
      <c r="AM7" s="442"/>
      <c r="AN7" s="83"/>
      <c r="AO7" s="385"/>
      <c r="AP7" s="386"/>
      <c r="AQ7" s="386"/>
      <c r="AR7" s="386"/>
      <c r="AS7" s="386"/>
      <c r="AT7" s="38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380"/>
      <c r="C8" s="380"/>
      <c r="D8" s="381"/>
      <c r="E8" s="421"/>
      <c r="F8" s="422"/>
      <c r="G8" s="422"/>
      <c r="H8" s="422"/>
      <c r="I8" s="423"/>
      <c r="J8" s="432" t="str">
        <f ca="1">IF(AND('Mapa Instituc Corrupc 2023'!$H$28="Muy Alta",'Mapa Instituc Corrupc 2023'!$L$28="Leve"),CONCATENATE("R",'Mapa Instituc Corrupc 2023'!$A$28),"")</f>
        <v/>
      </c>
      <c r="K8" s="429"/>
      <c r="L8" s="427" t="str">
        <f ca="1">IF(AND('Mapa Instituc Corrupc 2023'!$H$34="Muy Alta",'Mapa Instituc Corrupc 2023'!$L$34="Leve"),CONCATENATE("R",'Mapa Instituc Corrupc 2023'!$A$34),"")</f>
        <v/>
      </c>
      <c r="M8" s="427"/>
      <c r="N8" s="427" t="str">
        <f ca="1">IF(AND('Mapa Instituc Corrupc 2023'!$H$40="Muy Alta",'Mapa Instituc Corrupc 2023'!$L$40="Leve"),CONCATENATE("R",'Mapa Instituc Corrupc 2023'!$A$40),"")</f>
        <v/>
      </c>
      <c r="O8" s="428"/>
      <c r="P8" s="432" t="str">
        <f ca="1">IF(AND('Mapa Instituc Corrupc 2023'!$H$28="Muy Alta",'Mapa Instituc Corrupc 2023'!$L$28="Menor"),CONCATENATE("R",'Mapa Instituc Corrupc 2023'!$A$28),"")</f>
        <v/>
      </c>
      <c r="Q8" s="429"/>
      <c r="R8" s="427" t="str">
        <f ca="1">IF(AND('Mapa Instituc Corrupc 2023'!$H$34="Muy Alta",'Mapa Instituc Corrupc 2023'!$L$34="Menor"),CONCATENATE("R",'Mapa Instituc Corrupc 2023'!$A$34),"")</f>
        <v/>
      </c>
      <c r="S8" s="427"/>
      <c r="T8" s="427" t="str">
        <f ca="1">IF(AND('Mapa Instituc Corrupc 2023'!$H$40="Muy Alta",'Mapa Instituc Corrupc 2023'!$L$40="Menor"),CONCATENATE("R",'Mapa Instituc Corrupc 2023'!$A$40),"")</f>
        <v/>
      </c>
      <c r="U8" s="428"/>
      <c r="V8" s="432" t="str">
        <f ca="1">IF(AND('Mapa Instituc Corrupc 2023'!$H$28="Muy Alta",'Mapa Instituc Corrupc 2023'!$L$28="Moderado"),CONCATENATE("R",'Mapa Instituc Corrupc 2023'!$A$28),"")</f>
        <v/>
      </c>
      <c r="W8" s="429"/>
      <c r="X8" s="427" t="str">
        <f ca="1">IF(AND('Mapa Instituc Corrupc 2023'!$H$34="Muy Alta",'Mapa Instituc Corrupc 2023'!$L$34="Moderado"),CONCATENATE("R",'Mapa Instituc Corrupc 2023'!$A$34),"")</f>
        <v/>
      </c>
      <c r="Y8" s="427"/>
      <c r="Z8" s="427" t="str">
        <f ca="1">IF(AND('Mapa Instituc Corrupc 2023'!$H$40="Muy Alta",'Mapa Instituc Corrupc 2023'!$L$40="Moderado"),CONCATENATE("R",'Mapa Instituc Corrupc 2023'!$A$40),"")</f>
        <v/>
      </c>
      <c r="AA8" s="428"/>
      <c r="AB8" s="432" t="str">
        <f ca="1">IF(AND('Mapa Instituc Corrupc 2023'!$H$28="Muy Alta",'Mapa Instituc Corrupc 2023'!$L$28="Mayor"),CONCATENATE("R",'Mapa Instituc Corrupc 2023'!$A$28),"")</f>
        <v/>
      </c>
      <c r="AC8" s="429"/>
      <c r="AD8" s="427" t="str">
        <f ca="1">IF(AND('Mapa Instituc Corrupc 2023'!$H$34="Muy Alta",'Mapa Instituc Corrupc 2023'!$L$34="Mayor"),CONCATENATE("R",'Mapa Instituc Corrupc 2023'!$A$34),"")</f>
        <v/>
      </c>
      <c r="AE8" s="427"/>
      <c r="AF8" s="427" t="str">
        <f ca="1">IF(AND('Mapa Instituc Corrupc 2023'!$H$40="Muy Alta",'Mapa Instituc Corrupc 2023'!$L$40="Mayor"),CONCATENATE("R",'Mapa Instituc Corrupc 2023'!$A$40),"")</f>
        <v/>
      </c>
      <c r="AG8" s="428"/>
      <c r="AH8" s="440" t="str">
        <f ca="1">IF(AND('Mapa Instituc Corrupc 2023'!$H$28="Muy Alta",'Mapa Instituc Corrupc 2023'!$L$28="Catastrófico"),CONCATENATE("R",'Mapa Instituc Corrupc 2023'!$A$28),"")</f>
        <v/>
      </c>
      <c r="AI8" s="441"/>
      <c r="AJ8" s="441" t="str">
        <f ca="1">IF(AND('Mapa Instituc Corrupc 2023'!$H$34="Muy Alta",'Mapa Instituc Corrupc 2023'!$L$34="Catastrófico"),CONCATENATE("R",'Mapa Instituc Corrupc 2023'!$A$34),"")</f>
        <v/>
      </c>
      <c r="AK8" s="441"/>
      <c r="AL8" s="441" t="str">
        <f ca="1">IF(AND('Mapa Instituc Corrupc 2023'!$H$40="Muy Alta",'Mapa Instituc Corrupc 2023'!$L$40="Catastrófico"),CONCATENATE("R",'Mapa Instituc Corrupc 2023'!$A$40),"")</f>
        <v/>
      </c>
      <c r="AM8" s="442"/>
      <c r="AN8" s="83"/>
      <c r="AO8" s="385"/>
      <c r="AP8" s="386"/>
      <c r="AQ8" s="386"/>
      <c r="AR8" s="386"/>
      <c r="AS8" s="386"/>
      <c r="AT8" s="38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380"/>
      <c r="C9" s="380"/>
      <c r="D9" s="381"/>
      <c r="E9" s="421"/>
      <c r="F9" s="422"/>
      <c r="G9" s="422"/>
      <c r="H9" s="422"/>
      <c r="I9" s="423"/>
      <c r="J9" s="432"/>
      <c r="K9" s="429"/>
      <c r="L9" s="427"/>
      <c r="M9" s="427"/>
      <c r="N9" s="427"/>
      <c r="O9" s="428"/>
      <c r="P9" s="432"/>
      <c r="Q9" s="429"/>
      <c r="R9" s="427"/>
      <c r="S9" s="427"/>
      <c r="T9" s="427"/>
      <c r="U9" s="428"/>
      <c r="V9" s="432"/>
      <c r="W9" s="429"/>
      <c r="X9" s="427"/>
      <c r="Y9" s="427"/>
      <c r="Z9" s="427"/>
      <c r="AA9" s="428"/>
      <c r="AB9" s="432"/>
      <c r="AC9" s="429"/>
      <c r="AD9" s="427"/>
      <c r="AE9" s="427"/>
      <c r="AF9" s="427"/>
      <c r="AG9" s="428"/>
      <c r="AH9" s="440"/>
      <c r="AI9" s="441"/>
      <c r="AJ9" s="441"/>
      <c r="AK9" s="441"/>
      <c r="AL9" s="441"/>
      <c r="AM9" s="442"/>
      <c r="AN9" s="83"/>
      <c r="AO9" s="385"/>
      <c r="AP9" s="386"/>
      <c r="AQ9" s="386"/>
      <c r="AR9" s="386"/>
      <c r="AS9" s="386"/>
      <c r="AT9" s="38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380"/>
      <c r="C10" s="380"/>
      <c r="D10" s="381"/>
      <c r="E10" s="421"/>
      <c r="F10" s="422"/>
      <c r="G10" s="422"/>
      <c r="H10" s="422"/>
      <c r="I10" s="423"/>
      <c r="J10" s="432" t="str">
        <f ca="1">IF(AND('Mapa Instituc Corrupc 2023'!$H$46="Muy Alta",'Mapa Instituc Corrupc 2023'!$L$46="Leve"),CONCATENATE("R",'Mapa Instituc Corrupc 2023'!$A$46),"")</f>
        <v/>
      </c>
      <c r="K10" s="429"/>
      <c r="L10" s="427" t="str">
        <f ca="1">IF(AND('Mapa Instituc Corrupc 2023'!$H$52="Muy Alta",'Mapa Instituc Corrupc 2023'!$L$52="Leve"),CONCATENATE("R",'Mapa Instituc Corrupc 2023'!$A$52),"")</f>
        <v/>
      </c>
      <c r="M10" s="427"/>
      <c r="N10" s="427" t="str">
        <f ca="1">IF(AND('Mapa Instituc Corrupc 2023'!$H$58="Muy Alta",'Mapa Instituc Corrupc 2023'!$L$58="Leve"),CONCATENATE("R",'Mapa Instituc Corrupc 2023'!$A$58),"")</f>
        <v/>
      </c>
      <c r="O10" s="428"/>
      <c r="P10" s="432" t="str">
        <f ca="1">IF(AND('Mapa Instituc Corrupc 2023'!$H$46="Muy Alta",'Mapa Instituc Corrupc 2023'!$L$46="Menor"),CONCATENATE("R",'Mapa Instituc Corrupc 2023'!$A$46),"")</f>
        <v/>
      </c>
      <c r="Q10" s="429"/>
      <c r="R10" s="427" t="str">
        <f ca="1">IF(AND('Mapa Instituc Corrupc 2023'!$H$52="Muy Alta",'Mapa Instituc Corrupc 2023'!$L$52="Menor"),CONCATENATE("R",'Mapa Instituc Corrupc 2023'!$A$52),"")</f>
        <v/>
      </c>
      <c r="S10" s="427"/>
      <c r="T10" s="427" t="str">
        <f ca="1">IF(AND('Mapa Instituc Corrupc 2023'!$H$58="Muy Alta",'Mapa Instituc Corrupc 2023'!$L$58="Menor"),CONCATENATE("R",'Mapa Instituc Corrupc 2023'!$A$58),"")</f>
        <v/>
      </c>
      <c r="U10" s="428"/>
      <c r="V10" s="432" t="str">
        <f ca="1">IF(AND('Mapa Instituc Corrupc 2023'!$H$46="Muy Alta",'Mapa Instituc Corrupc 2023'!$L$46="Moderado"),CONCATENATE("R",'Mapa Instituc Corrupc 2023'!$A$46),"")</f>
        <v/>
      </c>
      <c r="W10" s="429"/>
      <c r="X10" s="427" t="str">
        <f ca="1">IF(AND('Mapa Instituc Corrupc 2023'!$H$52="Muy Alta",'Mapa Instituc Corrupc 2023'!$L$52="Moderado"),CONCATENATE("R",'Mapa Instituc Corrupc 2023'!$A$52),"")</f>
        <v/>
      </c>
      <c r="Y10" s="427"/>
      <c r="Z10" s="427" t="str">
        <f ca="1">IF(AND('Mapa Instituc Corrupc 2023'!$H$58="Muy Alta",'Mapa Instituc Corrupc 2023'!$L$58="Moderado"),CONCATENATE("R",'Mapa Instituc Corrupc 2023'!$A$58),"")</f>
        <v/>
      </c>
      <c r="AA10" s="428"/>
      <c r="AB10" s="432" t="str">
        <f ca="1">IF(AND('Mapa Instituc Corrupc 2023'!$H$46="Muy Alta",'Mapa Instituc Corrupc 2023'!$L$46="Mayor"),CONCATENATE("R",'Mapa Instituc Corrupc 2023'!$A$46),"")</f>
        <v/>
      </c>
      <c r="AC10" s="429"/>
      <c r="AD10" s="427" t="str">
        <f ca="1">IF(AND('Mapa Instituc Corrupc 2023'!$H$52="Muy Alta",'Mapa Instituc Corrupc 2023'!$L$52="Mayor"),CONCATENATE("R",'Mapa Instituc Corrupc 2023'!$A$52),"")</f>
        <v/>
      </c>
      <c r="AE10" s="427"/>
      <c r="AF10" s="427" t="str">
        <f ca="1">IF(AND('Mapa Instituc Corrupc 2023'!$H$58="Muy Alta",'Mapa Instituc Corrupc 2023'!$L$58="Mayor"),CONCATENATE("R",'Mapa Instituc Corrupc 2023'!$A$58),"")</f>
        <v/>
      </c>
      <c r="AG10" s="428"/>
      <c r="AH10" s="440" t="str">
        <f ca="1">IF(AND('Mapa Instituc Corrupc 2023'!$H$46="Muy Alta",'Mapa Instituc Corrupc 2023'!$L$46="Catastrófico"),CONCATENATE("R",'Mapa Instituc Corrupc 2023'!$A$46),"")</f>
        <v/>
      </c>
      <c r="AI10" s="441"/>
      <c r="AJ10" s="441" t="str">
        <f ca="1">IF(AND('Mapa Instituc Corrupc 2023'!$H$52="Muy Alta",'Mapa Instituc Corrupc 2023'!$L$52="Catastrófico"),CONCATENATE("R",'Mapa Instituc Corrupc 2023'!$A$52),"")</f>
        <v/>
      </c>
      <c r="AK10" s="441"/>
      <c r="AL10" s="441" t="str">
        <f ca="1">IF(AND('Mapa Instituc Corrupc 2023'!$H$58="Muy Alta",'Mapa Instituc Corrupc 2023'!$L$58="Catastrófico"),CONCATENATE("R",'Mapa Instituc Corrupc 2023'!$A$58),"")</f>
        <v/>
      </c>
      <c r="AM10" s="442"/>
      <c r="AN10" s="83"/>
      <c r="AO10" s="385"/>
      <c r="AP10" s="386"/>
      <c r="AQ10" s="386"/>
      <c r="AR10" s="386"/>
      <c r="AS10" s="386"/>
      <c r="AT10" s="38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380"/>
      <c r="C11" s="380"/>
      <c r="D11" s="381"/>
      <c r="E11" s="421"/>
      <c r="F11" s="422"/>
      <c r="G11" s="422"/>
      <c r="H11" s="422"/>
      <c r="I11" s="423"/>
      <c r="J11" s="432"/>
      <c r="K11" s="429"/>
      <c r="L11" s="427"/>
      <c r="M11" s="427"/>
      <c r="N11" s="427"/>
      <c r="O11" s="428"/>
      <c r="P11" s="432"/>
      <c r="Q11" s="429"/>
      <c r="R11" s="427"/>
      <c r="S11" s="427"/>
      <c r="T11" s="427"/>
      <c r="U11" s="428"/>
      <c r="V11" s="432"/>
      <c r="W11" s="429"/>
      <c r="X11" s="427"/>
      <c r="Y11" s="427"/>
      <c r="Z11" s="427"/>
      <c r="AA11" s="428"/>
      <c r="AB11" s="432"/>
      <c r="AC11" s="429"/>
      <c r="AD11" s="427"/>
      <c r="AE11" s="427"/>
      <c r="AF11" s="427"/>
      <c r="AG11" s="428"/>
      <c r="AH11" s="440"/>
      <c r="AI11" s="441"/>
      <c r="AJ11" s="441"/>
      <c r="AK11" s="441"/>
      <c r="AL11" s="441"/>
      <c r="AM11" s="442"/>
      <c r="AN11" s="83"/>
      <c r="AO11" s="385"/>
      <c r="AP11" s="386"/>
      <c r="AQ11" s="386"/>
      <c r="AR11" s="386"/>
      <c r="AS11" s="386"/>
      <c r="AT11" s="38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380"/>
      <c r="C12" s="380"/>
      <c r="D12" s="381"/>
      <c r="E12" s="421"/>
      <c r="F12" s="422"/>
      <c r="G12" s="422"/>
      <c r="H12" s="422"/>
      <c r="I12" s="423"/>
      <c r="J12" s="432" t="str">
        <f ca="1">IF(AND('Mapa Instituc Corrupc 2023'!$H$64="Muy Alta",'Mapa Instituc Corrupc 2023'!$L$64="Leve"),CONCATENATE("R",'Mapa Instituc Corrupc 2023'!$A$64),"")</f>
        <v/>
      </c>
      <c r="K12" s="429"/>
      <c r="L12" s="427" t="str">
        <f>IF(AND('Mapa Instituc Corrupc 2023'!$H$70="Muy Alta",'Mapa Instituc Corrupc 2023'!$L$70="Leve"),CONCATENATE("R",'Mapa Instituc Corrupc 2023'!$A$70),"")</f>
        <v/>
      </c>
      <c r="M12" s="427"/>
      <c r="N12" s="427" t="str">
        <f>IF(AND('Mapa Instituc Corrupc 2023'!$H$74="Muy Alta",'Mapa Instituc Corrupc 2023'!$L$74="Leve"),CONCATENATE("R",'Mapa Instituc Corrupc 2023'!$A$74),"")</f>
        <v/>
      </c>
      <c r="O12" s="428"/>
      <c r="P12" s="432" t="str">
        <f ca="1">IF(AND('Mapa Instituc Corrupc 2023'!$H$64="Muy Alta",'Mapa Instituc Corrupc 2023'!$L$64="Menor"),CONCATENATE("R",'Mapa Instituc Corrupc 2023'!$A$64),"")</f>
        <v/>
      </c>
      <c r="Q12" s="429"/>
      <c r="R12" s="427" t="str">
        <f>IF(AND('Mapa Instituc Corrupc 2023'!$H$70="Muy Alta",'Mapa Instituc Corrupc 2023'!$L$70="Menor"),CONCATENATE("R",'Mapa Instituc Corrupc 2023'!$A$70),"")</f>
        <v/>
      </c>
      <c r="S12" s="427"/>
      <c r="T12" s="427" t="str">
        <f>IF(AND('Mapa Instituc Corrupc 2023'!$H$74="Muy Alta",'Mapa Instituc Corrupc 2023'!$L$74="Menor"),CONCATENATE("R",'Mapa Instituc Corrupc 2023'!$A$74),"")</f>
        <v/>
      </c>
      <c r="U12" s="428"/>
      <c r="V12" s="432" t="str">
        <f ca="1">IF(AND('Mapa Instituc Corrupc 2023'!$H$64="Muy Alta",'Mapa Instituc Corrupc 2023'!$L$64="Moderado"),CONCATENATE("R",'Mapa Instituc Corrupc 2023'!$A$64),"")</f>
        <v/>
      </c>
      <c r="W12" s="429"/>
      <c r="X12" s="427" t="str">
        <f>IF(AND('Mapa Instituc Corrupc 2023'!$H$70="Muy Alta",'Mapa Instituc Corrupc 2023'!$L$70="Moderado"),CONCATENATE("R",'Mapa Instituc Corrupc 2023'!$A$70),"")</f>
        <v/>
      </c>
      <c r="Y12" s="427"/>
      <c r="Z12" s="427" t="str">
        <f>IF(AND('Mapa Instituc Corrupc 2023'!$H$74="Muy Alta",'Mapa Instituc Corrupc 2023'!$L$74="Moderado"),CONCATENATE("R",'Mapa Instituc Corrupc 2023'!$A$74),"")</f>
        <v/>
      </c>
      <c r="AA12" s="428"/>
      <c r="AB12" s="432" t="str">
        <f ca="1">IF(AND('Mapa Instituc Corrupc 2023'!$H$64="Muy Alta",'Mapa Instituc Corrupc 2023'!$L$64="Mayor"),CONCATENATE("R",'Mapa Instituc Corrupc 2023'!$A$64),"")</f>
        <v/>
      </c>
      <c r="AC12" s="429"/>
      <c r="AD12" s="427" t="str">
        <f>IF(AND('Mapa Instituc Corrupc 2023'!$H$70="Muy Alta",'Mapa Instituc Corrupc 2023'!$L$70="Mayor"),CONCATENATE("R",'Mapa Instituc Corrupc 2023'!$A$70),"")</f>
        <v/>
      </c>
      <c r="AE12" s="427"/>
      <c r="AF12" s="427" t="str">
        <f>IF(AND('Mapa Instituc Corrupc 2023'!$H$74="Muy Alta",'Mapa Instituc Corrupc 2023'!$L$74="Mayor"),CONCATENATE("R",'Mapa Instituc Corrupc 2023'!$A$74),"")</f>
        <v/>
      </c>
      <c r="AG12" s="428"/>
      <c r="AH12" s="440" t="str">
        <f ca="1">IF(AND('Mapa Instituc Corrupc 2023'!$H$64="Muy Alta",'Mapa Instituc Corrupc 2023'!$L$64="Catastrófico"),CONCATENATE("R",'Mapa Instituc Corrupc 2023'!$A$64),"")</f>
        <v/>
      </c>
      <c r="AI12" s="441"/>
      <c r="AJ12" s="441" t="str">
        <f>IF(AND('Mapa Instituc Corrupc 2023'!$H$70="Muy Alta",'Mapa Instituc Corrupc 2023'!$L$70="Catastrófico"),CONCATENATE("R",'Mapa Instituc Corrupc 2023'!$A$70),"")</f>
        <v/>
      </c>
      <c r="AK12" s="441"/>
      <c r="AL12" s="441" t="str">
        <f>IF(AND('Mapa Instituc Corrupc 2023'!$H$74="Muy Alta",'Mapa Instituc Corrupc 2023'!$L$74="Catastrófico"),CONCATENATE("R",'Mapa Instituc Corrupc 2023'!$A$74),"")</f>
        <v/>
      </c>
      <c r="AM12" s="442"/>
      <c r="AN12" s="83"/>
      <c r="AO12" s="385"/>
      <c r="AP12" s="386"/>
      <c r="AQ12" s="386"/>
      <c r="AR12" s="386"/>
      <c r="AS12" s="386"/>
      <c r="AT12" s="38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380"/>
      <c r="C13" s="380"/>
      <c r="D13" s="381"/>
      <c r="E13" s="424"/>
      <c r="F13" s="425"/>
      <c r="G13" s="425"/>
      <c r="H13" s="425"/>
      <c r="I13" s="426"/>
      <c r="J13" s="432"/>
      <c r="K13" s="429"/>
      <c r="L13" s="429"/>
      <c r="M13" s="429"/>
      <c r="N13" s="429"/>
      <c r="O13" s="428"/>
      <c r="P13" s="432"/>
      <c r="Q13" s="429"/>
      <c r="R13" s="429"/>
      <c r="S13" s="429"/>
      <c r="T13" s="429"/>
      <c r="U13" s="428"/>
      <c r="V13" s="432"/>
      <c r="W13" s="429"/>
      <c r="X13" s="429"/>
      <c r="Y13" s="429"/>
      <c r="Z13" s="429"/>
      <c r="AA13" s="428"/>
      <c r="AB13" s="432"/>
      <c r="AC13" s="429"/>
      <c r="AD13" s="429"/>
      <c r="AE13" s="429"/>
      <c r="AF13" s="429"/>
      <c r="AG13" s="428"/>
      <c r="AH13" s="443"/>
      <c r="AI13" s="444"/>
      <c r="AJ13" s="444"/>
      <c r="AK13" s="444"/>
      <c r="AL13" s="444"/>
      <c r="AM13" s="445"/>
      <c r="AN13" s="83"/>
      <c r="AO13" s="388"/>
      <c r="AP13" s="389"/>
      <c r="AQ13" s="389"/>
      <c r="AR13" s="389"/>
      <c r="AS13" s="389"/>
      <c r="AT13" s="390"/>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380"/>
      <c r="C14" s="380"/>
      <c r="D14" s="381"/>
      <c r="E14" s="418" t="s">
        <v>115</v>
      </c>
      <c r="F14" s="419"/>
      <c r="G14" s="419"/>
      <c r="H14" s="419"/>
      <c r="I14" s="419"/>
      <c r="J14" s="455" t="str">
        <f ca="1">IF(AND('Mapa Instituc Corrupc 2023'!$H$10="Alta",'Mapa Instituc Corrupc 2023'!$L$10="Leve"),CONCATENATE("R",'Mapa Instituc Corrupc 2023'!$A$10),"")</f>
        <v/>
      </c>
      <c r="K14" s="456"/>
      <c r="L14" s="456" t="str">
        <f ca="1">IF(AND('Mapa Instituc Corrupc 2023'!$H$16="Alta",'Mapa Instituc Corrupc 2023'!$L$16="Leve"),CONCATENATE("R",'Mapa Instituc Corrupc 2023'!$A$16),"")</f>
        <v/>
      </c>
      <c r="M14" s="456"/>
      <c r="N14" s="456" t="str">
        <f ca="1">IF(AND('Mapa Instituc Corrupc 2023'!$H$22="Alta",'Mapa Instituc Corrupc 2023'!$L$22="Leve"),CONCATENATE("R",'Mapa Instituc Corrupc 2023'!$A$22),"")</f>
        <v/>
      </c>
      <c r="O14" s="457"/>
      <c r="P14" s="455" t="str">
        <f ca="1">IF(AND('Mapa Instituc Corrupc 2023'!$H$10="Alta",'Mapa Instituc Corrupc 2023'!$L$10="Menor"),CONCATENATE("R",'Mapa Instituc Corrupc 2023'!$A$10),"")</f>
        <v/>
      </c>
      <c r="Q14" s="456"/>
      <c r="R14" s="456" t="str">
        <f ca="1">IF(AND('Mapa Instituc Corrupc 2023'!$H$16="Alta",'Mapa Instituc Corrupc 2023'!$L$16="Menor"),CONCATENATE("R",'Mapa Instituc Corrupc 2023'!$A$16),"")</f>
        <v>R1</v>
      </c>
      <c r="S14" s="456"/>
      <c r="T14" s="456" t="str">
        <f ca="1">IF(AND('Mapa Instituc Corrupc 2023'!$H$22="Alta",'Mapa Instituc Corrupc 2023'!$L$22="Menor"),CONCATENATE("R",'Mapa Instituc Corrupc 2023'!$A$22),"")</f>
        <v/>
      </c>
      <c r="U14" s="457"/>
      <c r="V14" s="430" t="str">
        <f ca="1">IF(AND('Mapa Instituc Corrupc 2023'!$H$10="Alta",'Mapa Instituc Corrupc 2023'!$L$10="Moderado"),CONCATENATE("R",'Mapa Instituc Corrupc 2023'!$A$10),"")</f>
        <v/>
      </c>
      <c r="W14" s="431"/>
      <c r="X14" s="431" t="str">
        <f ca="1">IF(AND('Mapa Instituc Corrupc 2023'!$H$16="Alta",'Mapa Instituc Corrupc 2023'!$L$16="Moderado"),CONCATENATE("R",'Mapa Instituc Corrupc 2023'!$A$16),"")</f>
        <v/>
      </c>
      <c r="Y14" s="431"/>
      <c r="Z14" s="431" t="str">
        <f ca="1">IF(AND('Mapa Instituc Corrupc 2023'!$H$22="Alta",'Mapa Instituc Corrupc 2023'!$L$22="Moderado"),CONCATENATE("R",'Mapa Instituc Corrupc 2023'!$A$22),"")</f>
        <v/>
      </c>
      <c r="AA14" s="433"/>
      <c r="AB14" s="430" t="str">
        <f ca="1">IF(AND('Mapa Instituc Corrupc 2023'!$H$10="Alta",'Mapa Instituc Corrupc 2023'!$L$10="Mayor"),CONCATENATE("R",'Mapa Instituc Corrupc 2023'!$A$10),"")</f>
        <v/>
      </c>
      <c r="AC14" s="431"/>
      <c r="AD14" s="431" t="str">
        <f ca="1">IF(AND('Mapa Instituc Corrupc 2023'!$H$16="Alta",'Mapa Instituc Corrupc 2023'!$L$16="Mayor"),CONCATENATE("R",'Mapa Instituc Corrupc 2023'!$A$16),"")</f>
        <v/>
      </c>
      <c r="AE14" s="431"/>
      <c r="AF14" s="431" t="str">
        <f ca="1">IF(AND('Mapa Instituc Corrupc 2023'!$H$22="Alta",'Mapa Instituc Corrupc 2023'!$L$22="Mayor"),CONCATENATE("R",'Mapa Instituc Corrupc 2023'!$A$22),"")</f>
        <v/>
      </c>
      <c r="AG14" s="433"/>
      <c r="AH14" s="446" t="str">
        <f ca="1">IF(AND('Mapa Instituc Corrupc 2023'!$H$10="Alta",'Mapa Instituc Corrupc 2023'!$L$10="Catastrófico"),CONCATENATE("R",'Mapa Instituc Corrupc 2023'!$A$10),"")</f>
        <v/>
      </c>
      <c r="AI14" s="447"/>
      <c r="AJ14" s="447" t="str">
        <f ca="1">IF(AND('Mapa Instituc Corrupc 2023'!$H$16="Alta",'Mapa Instituc Corrupc 2023'!$L$16="Catastrófico"),CONCATENATE("R",'Mapa Instituc Corrupc 2023'!$A$16),"")</f>
        <v/>
      </c>
      <c r="AK14" s="447"/>
      <c r="AL14" s="447" t="str">
        <f ca="1">IF(AND('Mapa Instituc Corrupc 2023'!$H$22="Alta",'Mapa Instituc Corrupc 2023'!$L$22="Catastrófico"),CONCATENATE("R",'Mapa Instituc Corrupc 2023'!$A$22),"")</f>
        <v/>
      </c>
      <c r="AM14" s="448"/>
      <c r="AN14" s="83"/>
      <c r="AO14" s="391" t="s">
        <v>80</v>
      </c>
      <c r="AP14" s="392"/>
      <c r="AQ14" s="392"/>
      <c r="AR14" s="392"/>
      <c r="AS14" s="392"/>
      <c r="AT14" s="39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380"/>
      <c r="C15" s="380"/>
      <c r="D15" s="381"/>
      <c r="E15" s="421"/>
      <c r="F15" s="422"/>
      <c r="G15" s="422"/>
      <c r="H15" s="422"/>
      <c r="I15" s="435"/>
      <c r="J15" s="449"/>
      <c r="K15" s="450"/>
      <c r="L15" s="450"/>
      <c r="M15" s="450"/>
      <c r="N15" s="450"/>
      <c r="O15" s="451"/>
      <c r="P15" s="449"/>
      <c r="Q15" s="450"/>
      <c r="R15" s="450"/>
      <c r="S15" s="450"/>
      <c r="T15" s="450"/>
      <c r="U15" s="451"/>
      <c r="V15" s="432"/>
      <c r="W15" s="429"/>
      <c r="X15" s="429"/>
      <c r="Y15" s="429"/>
      <c r="Z15" s="429"/>
      <c r="AA15" s="428"/>
      <c r="AB15" s="432"/>
      <c r="AC15" s="429"/>
      <c r="AD15" s="429"/>
      <c r="AE15" s="429"/>
      <c r="AF15" s="429"/>
      <c r="AG15" s="428"/>
      <c r="AH15" s="440"/>
      <c r="AI15" s="441"/>
      <c r="AJ15" s="441"/>
      <c r="AK15" s="441"/>
      <c r="AL15" s="441"/>
      <c r="AM15" s="442"/>
      <c r="AN15" s="83"/>
      <c r="AO15" s="394"/>
      <c r="AP15" s="395"/>
      <c r="AQ15" s="395"/>
      <c r="AR15" s="395"/>
      <c r="AS15" s="395"/>
      <c r="AT15" s="39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380"/>
      <c r="C16" s="380"/>
      <c r="D16" s="381"/>
      <c r="E16" s="421"/>
      <c r="F16" s="422"/>
      <c r="G16" s="422"/>
      <c r="H16" s="422"/>
      <c r="I16" s="435"/>
      <c r="J16" s="449" t="str">
        <f ca="1">IF(AND('Mapa Instituc Corrupc 2023'!$H$28="Alta",'Mapa Instituc Corrupc 2023'!$L$28="Leve"),CONCATENATE("R",'Mapa Instituc Corrupc 2023'!$A$28),"")</f>
        <v/>
      </c>
      <c r="K16" s="450"/>
      <c r="L16" s="450" t="str">
        <f ca="1">IF(AND('Mapa Instituc Corrupc 2023'!$H$34="Alta",'Mapa Instituc Corrupc 2023'!$L$34="Leve"),CONCATENATE("R",'Mapa Instituc Corrupc 2023'!$A$34),"")</f>
        <v/>
      </c>
      <c r="M16" s="450"/>
      <c r="N16" s="450" t="str">
        <f ca="1">IF(AND('Mapa Instituc Corrupc 2023'!$H$40="Alta",'Mapa Instituc Corrupc 2023'!$L$40="Leve"),CONCATENATE("R",'Mapa Instituc Corrupc 2023'!$A$40),"")</f>
        <v/>
      </c>
      <c r="O16" s="451"/>
      <c r="P16" s="449" t="str">
        <f ca="1">IF(AND('Mapa Instituc Corrupc 2023'!$H$28="Alta",'Mapa Instituc Corrupc 2023'!$L$28="Menor"),CONCATENATE("R",'Mapa Instituc Corrupc 2023'!$A$28),"")</f>
        <v/>
      </c>
      <c r="Q16" s="450"/>
      <c r="R16" s="450" t="str">
        <f ca="1">IF(AND('Mapa Instituc Corrupc 2023'!$H$34="Alta",'Mapa Instituc Corrupc 2023'!$L$34="Menor"),CONCATENATE("R",'Mapa Instituc Corrupc 2023'!$A$34),"")</f>
        <v/>
      </c>
      <c r="S16" s="450"/>
      <c r="T16" s="450" t="str">
        <f ca="1">IF(AND('Mapa Instituc Corrupc 2023'!$H$40="Alta",'Mapa Instituc Corrupc 2023'!$L$40="Menor"),CONCATENATE("R",'Mapa Instituc Corrupc 2023'!$A$40),"")</f>
        <v/>
      </c>
      <c r="U16" s="451"/>
      <c r="V16" s="432" t="str">
        <f ca="1">IF(AND('Mapa Instituc Corrupc 2023'!$H$28="Alta",'Mapa Instituc Corrupc 2023'!$L$28="Moderado"),CONCATENATE("R",'Mapa Instituc Corrupc 2023'!$A$28),"")</f>
        <v/>
      </c>
      <c r="W16" s="429"/>
      <c r="X16" s="427" t="str">
        <f ca="1">IF(AND('Mapa Instituc Corrupc 2023'!$H$34="Alta",'Mapa Instituc Corrupc 2023'!$L$34="Moderado"),CONCATENATE("R",'Mapa Instituc Corrupc 2023'!$A$34),"")</f>
        <v/>
      </c>
      <c r="Y16" s="427"/>
      <c r="Z16" s="427" t="str">
        <f ca="1">IF(AND('Mapa Instituc Corrupc 2023'!$H$40="Alta",'Mapa Instituc Corrupc 2023'!$L$40="Moderado"),CONCATENATE("R",'Mapa Instituc Corrupc 2023'!$A$40),"")</f>
        <v/>
      </c>
      <c r="AA16" s="428"/>
      <c r="AB16" s="432" t="str">
        <f ca="1">IF(AND('Mapa Instituc Corrupc 2023'!$H$28="Alta",'Mapa Instituc Corrupc 2023'!$L$28="Mayor"),CONCATENATE("R",'Mapa Instituc Corrupc 2023'!$A$28),"")</f>
        <v/>
      </c>
      <c r="AC16" s="429"/>
      <c r="AD16" s="427" t="str">
        <f ca="1">IF(AND('Mapa Instituc Corrupc 2023'!$H$34="Alta",'Mapa Instituc Corrupc 2023'!$L$34="Mayor"),CONCATENATE("R",'Mapa Instituc Corrupc 2023'!$A$34),"")</f>
        <v/>
      </c>
      <c r="AE16" s="427"/>
      <c r="AF16" s="427" t="str">
        <f ca="1">IF(AND('Mapa Instituc Corrupc 2023'!$H$40="Alta",'Mapa Instituc Corrupc 2023'!$L$40="Mayor"),CONCATENATE("R",'Mapa Instituc Corrupc 2023'!$A$40),"")</f>
        <v/>
      </c>
      <c r="AG16" s="428"/>
      <c r="AH16" s="440" t="str">
        <f ca="1">IF(AND('Mapa Instituc Corrupc 2023'!$H$28="Alta",'Mapa Instituc Corrupc 2023'!$L$28="Catastrófico"),CONCATENATE("R",'Mapa Instituc Corrupc 2023'!$A$28),"")</f>
        <v/>
      </c>
      <c r="AI16" s="441"/>
      <c r="AJ16" s="441" t="str">
        <f ca="1">IF(AND('Mapa Instituc Corrupc 2023'!$H$34="Alta",'Mapa Instituc Corrupc 2023'!$L$34="Catastrófico"),CONCATENATE("R",'Mapa Instituc Corrupc 2023'!$A$34),"")</f>
        <v/>
      </c>
      <c r="AK16" s="441"/>
      <c r="AL16" s="441" t="str">
        <f ca="1">IF(AND('Mapa Instituc Corrupc 2023'!$H$40="Alta",'Mapa Instituc Corrupc 2023'!$L$40="Catastrófico"),CONCATENATE("R",'Mapa Instituc Corrupc 2023'!$A$40),"")</f>
        <v/>
      </c>
      <c r="AM16" s="442"/>
      <c r="AN16" s="83"/>
      <c r="AO16" s="394"/>
      <c r="AP16" s="395"/>
      <c r="AQ16" s="395"/>
      <c r="AR16" s="395"/>
      <c r="AS16" s="395"/>
      <c r="AT16" s="39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380"/>
      <c r="C17" s="380"/>
      <c r="D17" s="381"/>
      <c r="E17" s="421"/>
      <c r="F17" s="422"/>
      <c r="G17" s="422"/>
      <c r="H17" s="422"/>
      <c r="I17" s="435"/>
      <c r="J17" s="449"/>
      <c r="K17" s="450"/>
      <c r="L17" s="450"/>
      <c r="M17" s="450"/>
      <c r="N17" s="450"/>
      <c r="O17" s="451"/>
      <c r="P17" s="449"/>
      <c r="Q17" s="450"/>
      <c r="R17" s="450"/>
      <c r="S17" s="450"/>
      <c r="T17" s="450"/>
      <c r="U17" s="451"/>
      <c r="V17" s="432"/>
      <c r="W17" s="429"/>
      <c r="X17" s="427"/>
      <c r="Y17" s="427"/>
      <c r="Z17" s="427"/>
      <c r="AA17" s="428"/>
      <c r="AB17" s="432"/>
      <c r="AC17" s="429"/>
      <c r="AD17" s="427"/>
      <c r="AE17" s="427"/>
      <c r="AF17" s="427"/>
      <c r="AG17" s="428"/>
      <c r="AH17" s="440"/>
      <c r="AI17" s="441"/>
      <c r="AJ17" s="441"/>
      <c r="AK17" s="441"/>
      <c r="AL17" s="441"/>
      <c r="AM17" s="442"/>
      <c r="AN17" s="83"/>
      <c r="AO17" s="394"/>
      <c r="AP17" s="395"/>
      <c r="AQ17" s="395"/>
      <c r="AR17" s="395"/>
      <c r="AS17" s="395"/>
      <c r="AT17" s="39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380"/>
      <c r="C18" s="380"/>
      <c r="D18" s="381"/>
      <c r="E18" s="421"/>
      <c r="F18" s="422"/>
      <c r="G18" s="422"/>
      <c r="H18" s="422"/>
      <c r="I18" s="435"/>
      <c r="J18" s="449" t="str">
        <f ca="1">IF(AND('Mapa Instituc Corrupc 2023'!$H$46="Alta",'Mapa Instituc Corrupc 2023'!$L$46="Leve"),CONCATENATE("R",'Mapa Instituc Corrupc 2023'!$A$46),"")</f>
        <v/>
      </c>
      <c r="K18" s="450"/>
      <c r="L18" s="450" t="str">
        <f ca="1">IF(AND('Mapa Instituc Corrupc 2023'!$H$52="Alta",'Mapa Instituc Corrupc 2023'!$L$52="Leve"),CONCATENATE("R",'Mapa Instituc Corrupc 2023'!$A$52),"")</f>
        <v/>
      </c>
      <c r="M18" s="450"/>
      <c r="N18" s="450" t="str">
        <f ca="1">IF(AND('Mapa Instituc Corrupc 2023'!$H$58="Alta",'Mapa Instituc Corrupc 2023'!$L$58="Leve"),CONCATENATE("R",'Mapa Instituc Corrupc 2023'!$A$58),"")</f>
        <v/>
      </c>
      <c r="O18" s="451"/>
      <c r="P18" s="449" t="str">
        <f ca="1">IF(AND('Mapa Instituc Corrupc 2023'!$H$46="Alta",'Mapa Instituc Corrupc 2023'!$L$46="Menor"),CONCATENATE("R",'Mapa Instituc Corrupc 2023'!$A$46),"")</f>
        <v/>
      </c>
      <c r="Q18" s="450"/>
      <c r="R18" s="450" t="str">
        <f ca="1">IF(AND('Mapa Instituc Corrupc 2023'!$H$52="Alta",'Mapa Instituc Corrupc 2023'!$L$52="Menor"),CONCATENATE("R",'Mapa Instituc Corrupc 2023'!$A$52),"")</f>
        <v/>
      </c>
      <c r="S18" s="450"/>
      <c r="T18" s="450" t="str">
        <f ca="1">IF(AND('Mapa Instituc Corrupc 2023'!$H$58="Alta",'Mapa Instituc Corrupc 2023'!$L$58="Menor"),CONCATENATE("R",'Mapa Instituc Corrupc 2023'!$A$58),"")</f>
        <v/>
      </c>
      <c r="U18" s="451"/>
      <c r="V18" s="432" t="str">
        <f ca="1">IF(AND('Mapa Instituc Corrupc 2023'!$H$46="Alta",'Mapa Instituc Corrupc 2023'!$L$46="Moderado"),CONCATENATE("R",'Mapa Instituc Corrupc 2023'!$A$46),"")</f>
        <v/>
      </c>
      <c r="W18" s="429"/>
      <c r="X18" s="427" t="str">
        <f ca="1">IF(AND('Mapa Instituc Corrupc 2023'!$H$52="Alta",'Mapa Instituc Corrupc 2023'!$L$52="Moderado"),CONCATENATE("R",'Mapa Instituc Corrupc 2023'!$A$52),"")</f>
        <v/>
      </c>
      <c r="Y18" s="427"/>
      <c r="Z18" s="427" t="str">
        <f ca="1">IF(AND('Mapa Instituc Corrupc 2023'!$H$58="Alta",'Mapa Instituc Corrupc 2023'!$L$58="Moderado"),CONCATENATE("R",'Mapa Instituc Corrupc 2023'!$A$58),"")</f>
        <v/>
      </c>
      <c r="AA18" s="428"/>
      <c r="AB18" s="432" t="str">
        <f ca="1">IF(AND('Mapa Instituc Corrupc 2023'!$H$46="Alta",'Mapa Instituc Corrupc 2023'!$L$46="Mayor"),CONCATENATE("R",'Mapa Instituc Corrupc 2023'!$A$46),"")</f>
        <v/>
      </c>
      <c r="AC18" s="429"/>
      <c r="AD18" s="427" t="str">
        <f ca="1">IF(AND('Mapa Instituc Corrupc 2023'!$H$52="Alta",'Mapa Instituc Corrupc 2023'!$L$52="Mayor"),CONCATENATE("R",'Mapa Instituc Corrupc 2023'!$A$52),"")</f>
        <v/>
      </c>
      <c r="AE18" s="427"/>
      <c r="AF18" s="427" t="str">
        <f ca="1">IF(AND('Mapa Instituc Corrupc 2023'!$H$58="Alta",'Mapa Instituc Corrupc 2023'!$L$58="Mayor"),CONCATENATE("R",'Mapa Instituc Corrupc 2023'!$A$58),"")</f>
        <v/>
      </c>
      <c r="AG18" s="428"/>
      <c r="AH18" s="440" t="str">
        <f ca="1">IF(AND('Mapa Instituc Corrupc 2023'!$H$46="Alta",'Mapa Instituc Corrupc 2023'!$L$46="Catastrófico"),CONCATENATE("R",'Mapa Instituc Corrupc 2023'!$A$46),"")</f>
        <v/>
      </c>
      <c r="AI18" s="441"/>
      <c r="AJ18" s="441" t="str">
        <f ca="1">IF(AND('Mapa Instituc Corrupc 2023'!$H$52="Alta",'Mapa Instituc Corrupc 2023'!$L$52="Catastrófico"),CONCATENATE("R",'Mapa Instituc Corrupc 2023'!$A$52),"")</f>
        <v/>
      </c>
      <c r="AK18" s="441"/>
      <c r="AL18" s="441" t="str">
        <f ca="1">IF(AND('Mapa Instituc Corrupc 2023'!$H$58="Alta",'Mapa Instituc Corrupc 2023'!$L$58="Catastrófico"),CONCATENATE("R",'Mapa Instituc Corrupc 2023'!$A$58),"")</f>
        <v/>
      </c>
      <c r="AM18" s="442"/>
      <c r="AN18" s="83"/>
      <c r="AO18" s="394"/>
      <c r="AP18" s="395"/>
      <c r="AQ18" s="395"/>
      <c r="AR18" s="395"/>
      <c r="AS18" s="395"/>
      <c r="AT18" s="39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380"/>
      <c r="C19" s="380"/>
      <c r="D19" s="381"/>
      <c r="E19" s="421"/>
      <c r="F19" s="422"/>
      <c r="G19" s="422"/>
      <c r="H19" s="422"/>
      <c r="I19" s="435"/>
      <c r="J19" s="449"/>
      <c r="K19" s="450"/>
      <c r="L19" s="450"/>
      <c r="M19" s="450"/>
      <c r="N19" s="450"/>
      <c r="O19" s="451"/>
      <c r="P19" s="449"/>
      <c r="Q19" s="450"/>
      <c r="R19" s="450"/>
      <c r="S19" s="450"/>
      <c r="T19" s="450"/>
      <c r="U19" s="451"/>
      <c r="V19" s="432"/>
      <c r="W19" s="429"/>
      <c r="X19" s="427"/>
      <c r="Y19" s="427"/>
      <c r="Z19" s="427"/>
      <c r="AA19" s="428"/>
      <c r="AB19" s="432"/>
      <c r="AC19" s="429"/>
      <c r="AD19" s="427"/>
      <c r="AE19" s="427"/>
      <c r="AF19" s="427"/>
      <c r="AG19" s="428"/>
      <c r="AH19" s="440"/>
      <c r="AI19" s="441"/>
      <c r="AJ19" s="441"/>
      <c r="AK19" s="441"/>
      <c r="AL19" s="441"/>
      <c r="AM19" s="442"/>
      <c r="AN19" s="83"/>
      <c r="AO19" s="394"/>
      <c r="AP19" s="395"/>
      <c r="AQ19" s="395"/>
      <c r="AR19" s="395"/>
      <c r="AS19" s="395"/>
      <c r="AT19" s="39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380"/>
      <c r="C20" s="380"/>
      <c r="D20" s="381"/>
      <c r="E20" s="421"/>
      <c r="F20" s="422"/>
      <c r="G20" s="422"/>
      <c r="H20" s="422"/>
      <c r="I20" s="435"/>
      <c r="J20" s="449" t="str">
        <f ca="1">IF(AND('Mapa Instituc Corrupc 2023'!$H$64="Alta",'Mapa Instituc Corrupc 2023'!$L$64="Leve"),CONCATENATE("R",'Mapa Instituc Corrupc 2023'!$A$64),"")</f>
        <v/>
      </c>
      <c r="K20" s="450"/>
      <c r="L20" s="450" t="str">
        <f>IF(AND('Mapa Instituc Corrupc 2023'!$H$70="Alta",'Mapa Instituc Corrupc 2023'!$L$70="Leve"),CONCATENATE("R",'Mapa Instituc Corrupc 2023'!$A$70),"")</f>
        <v/>
      </c>
      <c r="M20" s="450"/>
      <c r="N20" s="450" t="str">
        <f>IF(AND('Mapa Instituc Corrupc 2023'!$H$74="Alta",'Mapa Instituc Corrupc 2023'!$L$74="Leve"),CONCATENATE("R",'Mapa Instituc Corrupc 2023'!$A$74),"")</f>
        <v/>
      </c>
      <c r="O20" s="451"/>
      <c r="P20" s="449" t="str">
        <f ca="1">IF(AND('Mapa Instituc Corrupc 2023'!$H$64="Alta",'Mapa Instituc Corrupc 2023'!$L$64="Menor"),CONCATENATE("R",'Mapa Instituc Corrupc 2023'!$A$64),"")</f>
        <v/>
      </c>
      <c r="Q20" s="450"/>
      <c r="R20" s="450" t="str">
        <f>IF(AND('Mapa Instituc Corrupc 2023'!$H$70="Alta",'Mapa Instituc Corrupc 2023'!$L$70="Menor"),CONCATENATE("R",'Mapa Instituc Corrupc 2023'!$A$70),"")</f>
        <v/>
      </c>
      <c r="S20" s="450"/>
      <c r="T20" s="450" t="str">
        <f>IF(AND('Mapa Instituc Corrupc 2023'!$H$74="Alta",'Mapa Instituc Corrupc 2023'!$L$74="Menor"),CONCATENATE("R",'Mapa Instituc Corrupc 2023'!$A$74),"")</f>
        <v/>
      </c>
      <c r="U20" s="451"/>
      <c r="V20" s="432" t="str">
        <f ca="1">IF(AND('Mapa Instituc Corrupc 2023'!$H$64="Alta",'Mapa Instituc Corrupc 2023'!$L$64="Moderado"),CONCATENATE("R",'Mapa Instituc Corrupc 2023'!$A$64),"")</f>
        <v/>
      </c>
      <c r="W20" s="429"/>
      <c r="X20" s="427" t="str">
        <f>IF(AND('Mapa Instituc Corrupc 2023'!$H$70="Alta",'Mapa Instituc Corrupc 2023'!$L$70="Moderado"),CONCATENATE("R",'Mapa Instituc Corrupc 2023'!$A$70),"")</f>
        <v/>
      </c>
      <c r="Y20" s="427"/>
      <c r="Z20" s="427" t="str">
        <f>IF(AND('Mapa Instituc Corrupc 2023'!$H$74="Alta",'Mapa Instituc Corrupc 2023'!$L$74="Moderado"),CONCATENATE("R",'Mapa Instituc Corrupc 2023'!$A$74),"")</f>
        <v/>
      </c>
      <c r="AA20" s="428"/>
      <c r="AB20" s="432" t="str">
        <f ca="1">IF(AND('Mapa Instituc Corrupc 2023'!$H$64="Alta",'Mapa Instituc Corrupc 2023'!$L$64="Mayor"),CONCATENATE("R",'Mapa Instituc Corrupc 2023'!$A$64),"")</f>
        <v/>
      </c>
      <c r="AC20" s="429"/>
      <c r="AD20" s="427" t="str">
        <f>IF(AND('Mapa Instituc Corrupc 2023'!$H$70="Alta",'Mapa Instituc Corrupc 2023'!$L$70="Mayor"),CONCATENATE("R",'Mapa Instituc Corrupc 2023'!$A$70),"")</f>
        <v/>
      </c>
      <c r="AE20" s="427"/>
      <c r="AF20" s="427" t="str">
        <f>IF(AND('Mapa Instituc Corrupc 2023'!$H$74="Alta",'Mapa Instituc Corrupc 2023'!$L$74="Mayor"),CONCATENATE("R",'Mapa Instituc Corrupc 2023'!$A$74),"")</f>
        <v/>
      </c>
      <c r="AG20" s="428"/>
      <c r="AH20" s="440" t="str">
        <f ca="1">IF(AND('Mapa Instituc Corrupc 2023'!$H$64="Alta",'Mapa Instituc Corrupc 2023'!$L$64="Catastrófico"),CONCATENATE("R",'Mapa Instituc Corrupc 2023'!$A$64),"")</f>
        <v/>
      </c>
      <c r="AI20" s="441"/>
      <c r="AJ20" s="441" t="str">
        <f>IF(AND('Mapa Instituc Corrupc 2023'!$H$70="Alta",'Mapa Instituc Corrupc 2023'!$L$70="Catastrófico"),CONCATENATE("R",'Mapa Instituc Corrupc 2023'!$A$70),"")</f>
        <v/>
      </c>
      <c r="AK20" s="441"/>
      <c r="AL20" s="441" t="str">
        <f>IF(AND('Mapa Instituc Corrupc 2023'!$H$74="Alta",'Mapa Instituc Corrupc 2023'!$L$74="Catastrófico"),CONCATENATE("R",'Mapa Instituc Corrupc 2023'!$A$74),"")</f>
        <v/>
      </c>
      <c r="AM20" s="442"/>
      <c r="AN20" s="83"/>
      <c r="AO20" s="394"/>
      <c r="AP20" s="395"/>
      <c r="AQ20" s="395"/>
      <c r="AR20" s="395"/>
      <c r="AS20" s="395"/>
      <c r="AT20" s="39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380"/>
      <c r="C21" s="380"/>
      <c r="D21" s="381"/>
      <c r="E21" s="424"/>
      <c r="F21" s="425"/>
      <c r="G21" s="425"/>
      <c r="H21" s="425"/>
      <c r="I21" s="425"/>
      <c r="J21" s="452"/>
      <c r="K21" s="453"/>
      <c r="L21" s="453"/>
      <c r="M21" s="453"/>
      <c r="N21" s="453"/>
      <c r="O21" s="454"/>
      <c r="P21" s="452"/>
      <c r="Q21" s="453"/>
      <c r="R21" s="453"/>
      <c r="S21" s="453"/>
      <c r="T21" s="453"/>
      <c r="U21" s="454"/>
      <c r="V21" s="437"/>
      <c r="W21" s="438"/>
      <c r="X21" s="438"/>
      <c r="Y21" s="438"/>
      <c r="Z21" s="438"/>
      <c r="AA21" s="439"/>
      <c r="AB21" s="437"/>
      <c r="AC21" s="438"/>
      <c r="AD21" s="438"/>
      <c r="AE21" s="438"/>
      <c r="AF21" s="438"/>
      <c r="AG21" s="439"/>
      <c r="AH21" s="443"/>
      <c r="AI21" s="444"/>
      <c r="AJ21" s="444"/>
      <c r="AK21" s="444"/>
      <c r="AL21" s="444"/>
      <c r="AM21" s="445"/>
      <c r="AN21" s="83"/>
      <c r="AO21" s="397"/>
      <c r="AP21" s="398"/>
      <c r="AQ21" s="398"/>
      <c r="AR21" s="398"/>
      <c r="AS21" s="398"/>
      <c r="AT21" s="39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80"/>
      <c r="C22" s="380"/>
      <c r="D22" s="381"/>
      <c r="E22" s="418" t="s">
        <v>117</v>
      </c>
      <c r="F22" s="419"/>
      <c r="G22" s="419"/>
      <c r="H22" s="419"/>
      <c r="I22" s="420"/>
      <c r="J22" s="455" t="str">
        <f ca="1">IF(AND('Mapa Instituc Corrupc 2023'!$H$10="Media",'Mapa Instituc Corrupc 2023'!$L$10="Leve"),CONCATENATE("R",'Mapa Instituc Corrupc 2023'!$A$10),"")</f>
        <v/>
      </c>
      <c r="K22" s="456"/>
      <c r="L22" s="456" t="str">
        <f ca="1">IF(AND('Mapa Instituc Corrupc 2023'!$H$16="Media",'Mapa Instituc Corrupc 2023'!$L$16="Leve"),CONCATENATE("R",'Mapa Instituc Corrupc 2023'!$A$16),"")</f>
        <v/>
      </c>
      <c r="M22" s="456"/>
      <c r="N22" s="456" t="str">
        <f ca="1">IF(AND('Mapa Instituc Corrupc 2023'!$H$22="Media",'Mapa Instituc Corrupc 2023'!$L$22="Leve"),CONCATENATE("R",'Mapa Instituc Corrupc 2023'!$A$22),"")</f>
        <v/>
      </c>
      <c r="O22" s="457"/>
      <c r="P22" s="455" t="str">
        <f ca="1">IF(AND('Mapa Instituc Corrupc 2023'!$H$10="Media",'Mapa Instituc Corrupc 2023'!$L$10="Menor"),CONCATENATE("R",'Mapa Instituc Corrupc 2023'!$A$10),"")</f>
        <v/>
      </c>
      <c r="Q22" s="456"/>
      <c r="R22" s="456" t="str">
        <f ca="1">IF(AND('Mapa Instituc Corrupc 2023'!$H$16="Media",'Mapa Instituc Corrupc 2023'!$L$16="Menor"),CONCATENATE("R",'Mapa Instituc Corrupc 2023'!$A$16),"")</f>
        <v/>
      </c>
      <c r="S22" s="456"/>
      <c r="T22" s="456" t="str">
        <f ca="1">IF(AND('Mapa Instituc Corrupc 2023'!$H$22="Media",'Mapa Instituc Corrupc 2023'!$L$22="Menor"),CONCATENATE("R",'Mapa Instituc Corrupc 2023'!$A$22),"")</f>
        <v/>
      </c>
      <c r="U22" s="457"/>
      <c r="V22" s="455" t="str">
        <f ca="1">IF(AND('Mapa Instituc Corrupc 2023'!$H$10="Media",'Mapa Instituc Corrupc 2023'!$L$10="Moderado"),CONCATENATE("R",'Mapa Instituc Corrupc 2023'!$A$10),"")</f>
        <v/>
      </c>
      <c r="W22" s="456"/>
      <c r="X22" s="456" t="str">
        <f ca="1">IF(AND('Mapa Instituc Corrupc 2023'!$H$16="Media",'Mapa Instituc Corrupc 2023'!$L$16="Moderado"),CONCATENATE("R",'Mapa Instituc Corrupc 2023'!$A$16),"")</f>
        <v/>
      </c>
      <c r="Y22" s="456"/>
      <c r="Z22" s="456" t="str">
        <f ca="1">IF(AND('Mapa Instituc Corrupc 2023'!$H$22="Media",'Mapa Instituc Corrupc 2023'!$L$22="Moderado"),CONCATENATE("R",'Mapa Instituc Corrupc 2023'!$A$22),"")</f>
        <v/>
      </c>
      <c r="AA22" s="457"/>
      <c r="AB22" s="430" t="str">
        <f ca="1">IF(AND('Mapa Instituc Corrupc 2023'!$H$10="Media",'Mapa Instituc Corrupc 2023'!$L$10="Mayor"),CONCATENATE("R",'Mapa Instituc Corrupc 2023'!$A$10),"")</f>
        <v/>
      </c>
      <c r="AC22" s="431"/>
      <c r="AD22" s="431" t="str">
        <f ca="1">IF(AND('Mapa Instituc Corrupc 2023'!$H$16="Media",'Mapa Instituc Corrupc 2023'!$L$16="Mayor"),CONCATENATE("R",'Mapa Instituc Corrupc 2023'!$A$16),"")</f>
        <v/>
      </c>
      <c r="AE22" s="431"/>
      <c r="AF22" s="431" t="str">
        <f ca="1">IF(AND('Mapa Instituc Corrupc 2023'!$H$22="Media",'Mapa Instituc Corrupc 2023'!$L$22="Mayor"),CONCATENATE("R",'Mapa Instituc Corrupc 2023'!$A$22),"")</f>
        <v/>
      </c>
      <c r="AG22" s="433"/>
      <c r="AH22" s="446" t="str">
        <f ca="1">IF(AND('Mapa Instituc Corrupc 2023'!$H$10="Media",'Mapa Instituc Corrupc 2023'!$L$10="Catastrófico"),CONCATENATE("R",'Mapa Instituc Corrupc 2023'!$A$10),"")</f>
        <v/>
      </c>
      <c r="AI22" s="447"/>
      <c r="AJ22" s="447" t="str">
        <f ca="1">IF(AND('Mapa Instituc Corrupc 2023'!$H$16="Media",'Mapa Instituc Corrupc 2023'!$L$16="Catastrófico"),CONCATENATE("R",'Mapa Instituc Corrupc 2023'!$A$16),"")</f>
        <v/>
      </c>
      <c r="AK22" s="447"/>
      <c r="AL22" s="447" t="str">
        <f ca="1">IF(AND('Mapa Instituc Corrupc 2023'!$H$22="Media",'Mapa Instituc Corrupc 2023'!$L$22="Catastrófico"),CONCATENATE("R",'Mapa Instituc Corrupc 2023'!$A$22),"")</f>
        <v/>
      </c>
      <c r="AM22" s="448"/>
      <c r="AN22" s="83"/>
      <c r="AO22" s="400" t="s">
        <v>81</v>
      </c>
      <c r="AP22" s="401"/>
      <c r="AQ22" s="401"/>
      <c r="AR22" s="401"/>
      <c r="AS22" s="401"/>
      <c r="AT22" s="40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80"/>
      <c r="C23" s="380"/>
      <c r="D23" s="381"/>
      <c r="E23" s="421"/>
      <c r="F23" s="422"/>
      <c r="G23" s="422"/>
      <c r="H23" s="422"/>
      <c r="I23" s="423"/>
      <c r="J23" s="449"/>
      <c r="K23" s="450"/>
      <c r="L23" s="450"/>
      <c r="M23" s="450"/>
      <c r="N23" s="450"/>
      <c r="O23" s="451"/>
      <c r="P23" s="449"/>
      <c r="Q23" s="450"/>
      <c r="R23" s="450"/>
      <c r="S23" s="450"/>
      <c r="T23" s="450"/>
      <c r="U23" s="451"/>
      <c r="V23" s="449"/>
      <c r="W23" s="450"/>
      <c r="X23" s="450"/>
      <c r="Y23" s="450"/>
      <c r="Z23" s="450"/>
      <c r="AA23" s="451"/>
      <c r="AB23" s="432"/>
      <c r="AC23" s="429"/>
      <c r="AD23" s="429"/>
      <c r="AE23" s="429"/>
      <c r="AF23" s="429"/>
      <c r="AG23" s="428"/>
      <c r="AH23" s="440"/>
      <c r="AI23" s="441"/>
      <c r="AJ23" s="441"/>
      <c r="AK23" s="441"/>
      <c r="AL23" s="441"/>
      <c r="AM23" s="442"/>
      <c r="AN23" s="83"/>
      <c r="AO23" s="403"/>
      <c r="AP23" s="404"/>
      <c r="AQ23" s="404"/>
      <c r="AR23" s="404"/>
      <c r="AS23" s="404"/>
      <c r="AT23" s="40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80"/>
      <c r="C24" s="380"/>
      <c r="D24" s="381"/>
      <c r="E24" s="421"/>
      <c r="F24" s="422"/>
      <c r="G24" s="422"/>
      <c r="H24" s="422"/>
      <c r="I24" s="423"/>
      <c r="J24" s="449" t="str">
        <f ca="1">IF(AND('Mapa Instituc Corrupc 2023'!$H$28="Media",'Mapa Instituc Corrupc 2023'!$L$28="Leve"),CONCATENATE("R",'Mapa Instituc Corrupc 2023'!$A$28),"")</f>
        <v/>
      </c>
      <c r="K24" s="450"/>
      <c r="L24" s="450" t="str">
        <f ca="1">IF(AND('Mapa Instituc Corrupc 2023'!$H$34="Media",'Mapa Instituc Corrupc 2023'!$L$34="Leve"),CONCATENATE("R",'Mapa Instituc Corrupc 2023'!$A$34),"")</f>
        <v/>
      </c>
      <c r="M24" s="450"/>
      <c r="N24" s="450" t="str">
        <f ca="1">IF(AND('Mapa Instituc Corrupc 2023'!$H$40="Media",'Mapa Instituc Corrupc 2023'!$L$40="Leve"),CONCATENATE("R",'Mapa Instituc Corrupc 2023'!$A$40),"")</f>
        <v/>
      </c>
      <c r="O24" s="451"/>
      <c r="P24" s="449" t="str">
        <f ca="1">IF(AND('Mapa Instituc Corrupc 2023'!$H$28="Media",'Mapa Instituc Corrupc 2023'!$L$28="Menor"),CONCATENATE("R",'Mapa Instituc Corrupc 2023'!$A$28),"")</f>
        <v/>
      </c>
      <c r="Q24" s="450"/>
      <c r="R24" s="450" t="str">
        <f ca="1">IF(AND('Mapa Instituc Corrupc 2023'!$H$34="Media",'Mapa Instituc Corrupc 2023'!$L$34="Menor"),CONCATENATE("R",'Mapa Instituc Corrupc 2023'!$A$34),"")</f>
        <v/>
      </c>
      <c r="S24" s="450"/>
      <c r="T24" s="450" t="str">
        <f ca="1">IF(AND('Mapa Instituc Corrupc 2023'!$H$40="Media",'Mapa Instituc Corrupc 2023'!$L$40="Menor"),CONCATENATE("R",'Mapa Instituc Corrupc 2023'!$A$40),"")</f>
        <v/>
      </c>
      <c r="U24" s="451"/>
      <c r="V24" s="449" t="str">
        <f ca="1">IF(AND('Mapa Instituc Corrupc 2023'!$H$28="Media",'Mapa Instituc Corrupc 2023'!$L$28="Moderado"),CONCATENATE("R",'Mapa Instituc Corrupc 2023'!$A$28),"")</f>
        <v/>
      </c>
      <c r="W24" s="450"/>
      <c r="X24" s="450" t="str">
        <f ca="1">IF(AND('Mapa Instituc Corrupc 2023'!$H$34="Media",'Mapa Instituc Corrupc 2023'!$L$34="Moderado"),CONCATENATE("R",'Mapa Instituc Corrupc 2023'!$A$34),"")</f>
        <v/>
      </c>
      <c r="Y24" s="450"/>
      <c r="Z24" s="450" t="str">
        <f ca="1">IF(AND('Mapa Instituc Corrupc 2023'!$H$40="Media",'Mapa Instituc Corrupc 2023'!$L$40="Moderado"),CONCATENATE("R",'Mapa Instituc Corrupc 2023'!$A$40),"")</f>
        <v/>
      </c>
      <c r="AA24" s="451"/>
      <c r="AB24" s="432" t="str">
        <f ca="1">IF(AND('Mapa Instituc Corrupc 2023'!$H$28="Media",'Mapa Instituc Corrupc 2023'!$L$28="Mayor"),CONCATENATE("R",'Mapa Instituc Corrupc 2023'!$A$28),"")</f>
        <v/>
      </c>
      <c r="AC24" s="429"/>
      <c r="AD24" s="427" t="str">
        <f ca="1">IF(AND('Mapa Instituc Corrupc 2023'!$H$34="Media",'Mapa Instituc Corrupc 2023'!$L$34="Mayor"),CONCATENATE("R",'Mapa Instituc Corrupc 2023'!$A$34),"")</f>
        <v/>
      </c>
      <c r="AE24" s="427"/>
      <c r="AF24" s="427" t="str">
        <f ca="1">IF(AND('Mapa Instituc Corrupc 2023'!$H$40="Media",'Mapa Instituc Corrupc 2023'!$L$40="Mayor"),CONCATENATE("R",'Mapa Instituc Corrupc 2023'!$A$40),"")</f>
        <v/>
      </c>
      <c r="AG24" s="428"/>
      <c r="AH24" s="440" t="str">
        <f ca="1">IF(AND('Mapa Instituc Corrupc 2023'!$H$28="Media",'Mapa Instituc Corrupc 2023'!$L$28="Catastrófico"),CONCATENATE("R",'Mapa Instituc Corrupc 2023'!$A$28),"")</f>
        <v/>
      </c>
      <c r="AI24" s="441"/>
      <c r="AJ24" s="441" t="str">
        <f ca="1">IF(AND('Mapa Instituc Corrupc 2023'!$H$34="Media",'Mapa Instituc Corrupc 2023'!$L$34="Catastrófico"),CONCATENATE("R",'Mapa Instituc Corrupc 2023'!$A$34),"")</f>
        <v/>
      </c>
      <c r="AK24" s="441"/>
      <c r="AL24" s="441" t="str">
        <f ca="1">IF(AND('Mapa Instituc Corrupc 2023'!$H$40="Media",'Mapa Instituc Corrupc 2023'!$L$40="Catastrófico"),CONCATENATE("R",'Mapa Instituc Corrupc 2023'!$A$40),"")</f>
        <v/>
      </c>
      <c r="AM24" s="442"/>
      <c r="AN24" s="83"/>
      <c r="AO24" s="403"/>
      <c r="AP24" s="404"/>
      <c r="AQ24" s="404"/>
      <c r="AR24" s="404"/>
      <c r="AS24" s="404"/>
      <c r="AT24" s="40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80"/>
      <c r="C25" s="380"/>
      <c r="D25" s="381"/>
      <c r="E25" s="421"/>
      <c r="F25" s="422"/>
      <c r="G25" s="422"/>
      <c r="H25" s="422"/>
      <c r="I25" s="423"/>
      <c r="J25" s="449"/>
      <c r="K25" s="450"/>
      <c r="L25" s="450"/>
      <c r="M25" s="450"/>
      <c r="N25" s="450"/>
      <c r="O25" s="451"/>
      <c r="P25" s="449"/>
      <c r="Q25" s="450"/>
      <c r="R25" s="450"/>
      <c r="S25" s="450"/>
      <c r="T25" s="450"/>
      <c r="U25" s="451"/>
      <c r="V25" s="449"/>
      <c r="W25" s="450"/>
      <c r="X25" s="450"/>
      <c r="Y25" s="450"/>
      <c r="Z25" s="450"/>
      <c r="AA25" s="451"/>
      <c r="AB25" s="432"/>
      <c r="AC25" s="429"/>
      <c r="AD25" s="427"/>
      <c r="AE25" s="427"/>
      <c r="AF25" s="427"/>
      <c r="AG25" s="428"/>
      <c r="AH25" s="440"/>
      <c r="AI25" s="441"/>
      <c r="AJ25" s="441"/>
      <c r="AK25" s="441"/>
      <c r="AL25" s="441"/>
      <c r="AM25" s="442"/>
      <c r="AN25" s="83"/>
      <c r="AO25" s="403"/>
      <c r="AP25" s="404"/>
      <c r="AQ25" s="404"/>
      <c r="AR25" s="404"/>
      <c r="AS25" s="404"/>
      <c r="AT25" s="40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80"/>
      <c r="C26" s="380"/>
      <c r="D26" s="381"/>
      <c r="E26" s="421"/>
      <c r="F26" s="422"/>
      <c r="G26" s="422"/>
      <c r="H26" s="422"/>
      <c r="I26" s="423"/>
      <c r="J26" s="449" t="str">
        <f ca="1">IF(AND('Mapa Instituc Corrupc 2023'!$H$46="Media",'Mapa Instituc Corrupc 2023'!$L$46="Leve"),CONCATENATE("R",'Mapa Instituc Corrupc 2023'!$A$46),"")</f>
        <v/>
      </c>
      <c r="K26" s="450"/>
      <c r="L26" s="450" t="str">
        <f ca="1">IF(AND('Mapa Instituc Corrupc 2023'!$H$52="Media",'Mapa Instituc Corrupc 2023'!$L$52="Leve"),CONCATENATE("R",'Mapa Instituc Corrupc 2023'!$A$52),"")</f>
        <v/>
      </c>
      <c r="M26" s="450"/>
      <c r="N26" s="450" t="str">
        <f ca="1">IF(AND('Mapa Instituc Corrupc 2023'!$H$58="Media",'Mapa Instituc Corrupc 2023'!$L$58="Leve"),CONCATENATE("R",'Mapa Instituc Corrupc 2023'!$A$58),"")</f>
        <v/>
      </c>
      <c r="O26" s="451"/>
      <c r="P26" s="449" t="str">
        <f ca="1">IF(AND('Mapa Instituc Corrupc 2023'!$H$46="Media",'Mapa Instituc Corrupc 2023'!$L$46="Menor"),CONCATENATE("R",'Mapa Instituc Corrupc 2023'!$A$46),"")</f>
        <v/>
      </c>
      <c r="Q26" s="450"/>
      <c r="R26" s="450" t="str">
        <f ca="1">IF(AND('Mapa Instituc Corrupc 2023'!$H$52="Media",'Mapa Instituc Corrupc 2023'!$L$52="Menor"),CONCATENATE("R",'Mapa Instituc Corrupc 2023'!$A$52),"")</f>
        <v/>
      </c>
      <c r="S26" s="450"/>
      <c r="T26" s="450" t="str">
        <f ca="1">IF(AND('Mapa Instituc Corrupc 2023'!$H$58="Media",'Mapa Instituc Corrupc 2023'!$L$58="Menor"),CONCATENATE("R",'Mapa Instituc Corrupc 2023'!$A$58),"")</f>
        <v/>
      </c>
      <c r="U26" s="451"/>
      <c r="V26" s="449" t="str">
        <f ca="1">IF(AND('Mapa Instituc Corrupc 2023'!$H$46="Media",'Mapa Instituc Corrupc 2023'!$L$46="Moderado"),CONCATENATE("R",'Mapa Instituc Corrupc 2023'!$A$46),"")</f>
        <v/>
      </c>
      <c r="W26" s="450"/>
      <c r="X26" s="450" t="str">
        <f ca="1">IF(AND('Mapa Instituc Corrupc 2023'!$H$52="Media",'Mapa Instituc Corrupc 2023'!$L$52="Moderado"),CONCATENATE("R",'Mapa Instituc Corrupc 2023'!$A$52),"")</f>
        <v/>
      </c>
      <c r="Y26" s="450"/>
      <c r="Z26" s="450" t="str">
        <f ca="1">IF(AND('Mapa Instituc Corrupc 2023'!$H$58="Media",'Mapa Instituc Corrupc 2023'!$L$58="Moderado"),CONCATENATE("R",'Mapa Instituc Corrupc 2023'!$A$58),"")</f>
        <v/>
      </c>
      <c r="AA26" s="451"/>
      <c r="AB26" s="432" t="str">
        <f ca="1">IF(AND('Mapa Instituc Corrupc 2023'!$H$46="Media",'Mapa Instituc Corrupc 2023'!$L$46="Mayor"),CONCATENATE("R",'Mapa Instituc Corrupc 2023'!$A$46),"")</f>
        <v/>
      </c>
      <c r="AC26" s="429"/>
      <c r="AD26" s="427" t="str">
        <f ca="1">IF(AND('Mapa Instituc Corrupc 2023'!$H$52="Media",'Mapa Instituc Corrupc 2023'!$L$52="Mayor"),CONCATENATE("R",'Mapa Instituc Corrupc 2023'!$A$52),"")</f>
        <v/>
      </c>
      <c r="AE26" s="427"/>
      <c r="AF26" s="427" t="str">
        <f ca="1">IF(AND('Mapa Instituc Corrupc 2023'!$H$58="Media",'Mapa Instituc Corrupc 2023'!$L$58="Mayor"),CONCATENATE("R",'Mapa Instituc Corrupc 2023'!$A$58),"")</f>
        <v/>
      </c>
      <c r="AG26" s="428"/>
      <c r="AH26" s="440" t="str">
        <f ca="1">IF(AND('Mapa Instituc Corrupc 2023'!$H$46="Media",'Mapa Instituc Corrupc 2023'!$L$46="Catastrófico"),CONCATENATE("R",'Mapa Instituc Corrupc 2023'!$A$46),"")</f>
        <v/>
      </c>
      <c r="AI26" s="441"/>
      <c r="AJ26" s="441" t="str">
        <f ca="1">IF(AND('Mapa Instituc Corrupc 2023'!$H$52="Media",'Mapa Instituc Corrupc 2023'!$L$52="Catastrófico"),CONCATENATE("R",'Mapa Instituc Corrupc 2023'!$A$52),"")</f>
        <v/>
      </c>
      <c r="AK26" s="441"/>
      <c r="AL26" s="441" t="str">
        <f ca="1">IF(AND('Mapa Instituc Corrupc 2023'!$H$58="Media",'Mapa Instituc Corrupc 2023'!$L$58="Catastrófico"),CONCATENATE("R",'Mapa Instituc Corrupc 2023'!$A$58),"")</f>
        <v/>
      </c>
      <c r="AM26" s="442"/>
      <c r="AN26" s="83"/>
      <c r="AO26" s="403"/>
      <c r="AP26" s="404"/>
      <c r="AQ26" s="404"/>
      <c r="AR26" s="404"/>
      <c r="AS26" s="404"/>
      <c r="AT26" s="40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80"/>
      <c r="C27" s="380"/>
      <c r="D27" s="381"/>
      <c r="E27" s="421"/>
      <c r="F27" s="422"/>
      <c r="G27" s="422"/>
      <c r="H27" s="422"/>
      <c r="I27" s="423"/>
      <c r="J27" s="449"/>
      <c r="K27" s="450"/>
      <c r="L27" s="450"/>
      <c r="M27" s="450"/>
      <c r="N27" s="450"/>
      <c r="O27" s="451"/>
      <c r="P27" s="449"/>
      <c r="Q27" s="450"/>
      <c r="R27" s="450"/>
      <c r="S27" s="450"/>
      <c r="T27" s="450"/>
      <c r="U27" s="451"/>
      <c r="V27" s="449"/>
      <c r="W27" s="450"/>
      <c r="X27" s="450"/>
      <c r="Y27" s="450"/>
      <c r="Z27" s="450"/>
      <c r="AA27" s="451"/>
      <c r="AB27" s="432"/>
      <c r="AC27" s="429"/>
      <c r="AD27" s="427"/>
      <c r="AE27" s="427"/>
      <c r="AF27" s="427"/>
      <c r="AG27" s="428"/>
      <c r="AH27" s="440"/>
      <c r="AI27" s="441"/>
      <c r="AJ27" s="441"/>
      <c r="AK27" s="441"/>
      <c r="AL27" s="441"/>
      <c r="AM27" s="442"/>
      <c r="AN27" s="83"/>
      <c r="AO27" s="403"/>
      <c r="AP27" s="404"/>
      <c r="AQ27" s="404"/>
      <c r="AR27" s="404"/>
      <c r="AS27" s="404"/>
      <c r="AT27" s="40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80"/>
      <c r="C28" s="380"/>
      <c r="D28" s="381"/>
      <c r="E28" s="421"/>
      <c r="F28" s="422"/>
      <c r="G28" s="422"/>
      <c r="H28" s="422"/>
      <c r="I28" s="423"/>
      <c r="J28" s="449" t="str">
        <f ca="1">IF(AND('Mapa Instituc Corrupc 2023'!$H$64="Media",'Mapa Instituc Corrupc 2023'!$L$64="Leve"),CONCATENATE("R",'Mapa Instituc Corrupc 2023'!$A$64),"")</f>
        <v/>
      </c>
      <c r="K28" s="450"/>
      <c r="L28" s="450" t="str">
        <f>IF(AND('Mapa Instituc Corrupc 2023'!$H$70="Media",'Mapa Instituc Corrupc 2023'!$L$70="Leve"),CONCATENATE("R",'Mapa Instituc Corrupc 2023'!$A$70),"")</f>
        <v/>
      </c>
      <c r="M28" s="450"/>
      <c r="N28" s="450" t="str">
        <f>IF(AND('Mapa Instituc Corrupc 2023'!$H$74="Media",'Mapa Instituc Corrupc 2023'!$L$74="Leve"),CONCATENATE("R",'Mapa Instituc Corrupc 2023'!$A$74),"")</f>
        <v/>
      </c>
      <c r="O28" s="451"/>
      <c r="P28" s="449" t="str">
        <f ca="1">IF(AND('Mapa Instituc Corrupc 2023'!$H$64="Media",'Mapa Instituc Corrupc 2023'!$L$64="Menor"),CONCATENATE("R",'Mapa Instituc Corrupc 2023'!$A$64),"")</f>
        <v/>
      </c>
      <c r="Q28" s="450"/>
      <c r="R28" s="450" t="str">
        <f>IF(AND('Mapa Instituc Corrupc 2023'!$H$70="Media",'Mapa Instituc Corrupc 2023'!$L$70="Menor"),CONCATENATE("R",'Mapa Instituc Corrupc 2023'!$A$70),"")</f>
        <v/>
      </c>
      <c r="S28" s="450"/>
      <c r="T28" s="450" t="str">
        <f>IF(AND('Mapa Instituc Corrupc 2023'!$H$74="Media",'Mapa Instituc Corrupc 2023'!$L$74="Menor"),CONCATENATE("R",'Mapa Instituc Corrupc 2023'!$A$74),"")</f>
        <v/>
      </c>
      <c r="U28" s="451"/>
      <c r="V28" s="449" t="str">
        <f ca="1">IF(AND('Mapa Instituc Corrupc 2023'!$H$64="Media",'Mapa Instituc Corrupc 2023'!$L$64="Moderado"),CONCATENATE("R",'Mapa Instituc Corrupc 2023'!$A$64),"")</f>
        <v/>
      </c>
      <c r="W28" s="450"/>
      <c r="X28" s="450" t="str">
        <f>IF(AND('Mapa Instituc Corrupc 2023'!$H$70="Media",'Mapa Instituc Corrupc 2023'!$L$70="Moderado"),CONCATENATE("R",'Mapa Instituc Corrupc 2023'!$A$70),"")</f>
        <v/>
      </c>
      <c r="Y28" s="450"/>
      <c r="Z28" s="450" t="str">
        <f>IF(AND('Mapa Instituc Corrupc 2023'!$H$74="Media",'Mapa Instituc Corrupc 2023'!$L$74="Moderado"),CONCATENATE("R",'Mapa Instituc Corrupc 2023'!$A$74),"")</f>
        <v/>
      </c>
      <c r="AA28" s="451"/>
      <c r="AB28" s="432" t="str">
        <f ca="1">IF(AND('Mapa Instituc Corrupc 2023'!$H$64="Media",'Mapa Instituc Corrupc 2023'!$L$64="Mayor"),CONCATENATE("R",'Mapa Instituc Corrupc 2023'!$A$64),"")</f>
        <v/>
      </c>
      <c r="AC28" s="429"/>
      <c r="AD28" s="427" t="str">
        <f>IF(AND('Mapa Instituc Corrupc 2023'!$H$70="Media",'Mapa Instituc Corrupc 2023'!$L$70="Mayor"),CONCATENATE("R",'Mapa Instituc Corrupc 2023'!$A$70),"")</f>
        <v/>
      </c>
      <c r="AE28" s="427"/>
      <c r="AF28" s="427" t="str">
        <f>IF(AND('Mapa Instituc Corrupc 2023'!$H$74="Media",'Mapa Instituc Corrupc 2023'!$L$74="Mayor"),CONCATENATE("R",'Mapa Instituc Corrupc 2023'!$A$74),"")</f>
        <v/>
      </c>
      <c r="AG28" s="428"/>
      <c r="AH28" s="440" t="str">
        <f ca="1">IF(AND('Mapa Instituc Corrupc 2023'!$H$64="Media",'Mapa Instituc Corrupc 2023'!$L$64="Catastrófico"),CONCATENATE("R",'Mapa Instituc Corrupc 2023'!$A$64),"")</f>
        <v/>
      </c>
      <c r="AI28" s="441"/>
      <c r="AJ28" s="441" t="str">
        <f>IF(AND('Mapa Instituc Corrupc 2023'!$H$70="Media",'Mapa Instituc Corrupc 2023'!$L$70="Catastrófico"),CONCATENATE("R",'Mapa Instituc Corrupc 2023'!$A$70),"")</f>
        <v/>
      </c>
      <c r="AK28" s="441"/>
      <c r="AL28" s="441" t="str">
        <f>IF(AND('Mapa Instituc Corrupc 2023'!$H$74="Media",'Mapa Instituc Corrupc 2023'!$L$74="Catastrófico"),CONCATENATE("R",'Mapa Instituc Corrupc 2023'!$A$74),"")</f>
        <v/>
      </c>
      <c r="AM28" s="442"/>
      <c r="AN28" s="83"/>
      <c r="AO28" s="403"/>
      <c r="AP28" s="404"/>
      <c r="AQ28" s="404"/>
      <c r="AR28" s="404"/>
      <c r="AS28" s="404"/>
      <c r="AT28" s="40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380"/>
      <c r="C29" s="380"/>
      <c r="D29" s="381"/>
      <c r="E29" s="424"/>
      <c r="F29" s="425"/>
      <c r="G29" s="425"/>
      <c r="H29" s="425"/>
      <c r="I29" s="426"/>
      <c r="J29" s="449"/>
      <c r="K29" s="450"/>
      <c r="L29" s="450"/>
      <c r="M29" s="450"/>
      <c r="N29" s="450"/>
      <c r="O29" s="451"/>
      <c r="P29" s="452"/>
      <c r="Q29" s="453"/>
      <c r="R29" s="453"/>
      <c r="S29" s="453"/>
      <c r="T29" s="453"/>
      <c r="U29" s="454"/>
      <c r="V29" s="452"/>
      <c r="W29" s="453"/>
      <c r="X29" s="453"/>
      <c r="Y29" s="453"/>
      <c r="Z29" s="453"/>
      <c r="AA29" s="454"/>
      <c r="AB29" s="437"/>
      <c r="AC29" s="438"/>
      <c r="AD29" s="438"/>
      <c r="AE29" s="438"/>
      <c r="AF29" s="438"/>
      <c r="AG29" s="439"/>
      <c r="AH29" s="443"/>
      <c r="AI29" s="444"/>
      <c r="AJ29" s="444"/>
      <c r="AK29" s="444"/>
      <c r="AL29" s="444"/>
      <c r="AM29" s="445"/>
      <c r="AN29" s="83"/>
      <c r="AO29" s="406"/>
      <c r="AP29" s="407"/>
      <c r="AQ29" s="407"/>
      <c r="AR29" s="407"/>
      <c r="AS29" s="407"/>
      <c r="AT29" s="40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80"/>
      <c r="C30" s="380"/>
      <c r="D30" s="381"/>
      <c r="E30" s="418" t="s">
        <v>114</v>
      </c>
      <c r="F30" s="419"/>
      <c r="G30" s="419"/>
      <c r="H30" s="419"/>
      <c r="I30" s="419"/>
      <c r="J30" s="464" t="str">
        <f ca="1">IF(AND('Mapa Instituc Corrupc 2023'!$H$10="Baja",'Mapa Instituc Corrupc 2023'!$L$10="Leve"),CONCATENATE("R",'Mapa Instituc Corrupc 2023'!$A$10),"")</f>
        <v/>
      </c>
      <c r="K30" s="465"/>
      <c r="L30" s="465" t="str">
        <f ca="1">IF(AND('Mapa Instituc Corrupc 2023'!$H$16="Baja",'Mapa Instituc Corrupc 2023'!$L$16="Leve"),CONCATENATE("R",'Mapa Instituc Corrupc 2023'!$A$16),"")</f>
        <v/>
      </c>
      <c r="M30" s="465"/>
      <c r="N30" s="465" t="str">
        <f ca="1">IF(AND('Mapa Instituc Corrupc 2023'!$H$22="Baja",'Mapa Instituc Corrupc 2023'!$L$22="Leve"),CONCATENATE("R",'Mapa Instituc Corrupc 2023'!$A$22),"")</f>
        <v/>
      </c>
      <c r="O30" s="466"/>
      <c r="P30" s="456" t="str">
        <f ca="1">IF(AND('Mapa Instituc Corrupc 2023'!$H$10="Baja",'Mapa Instituc Corrupc 2023'!$L$10="Menor"),CONCATENATE("R",'Mapa Instituc Corrupc 2023'!$A$10),"")</f>
        <v>R1</v>
      </c>
      <c r="Q30" s="456"/>
      <c r="R30" s="456" t="str">
        <f ca="1">IF(AND('Mapa Instituc Corrupc 2023'!$H$16="Baja",'Mapa Instituc Corrupc 2023'!$L$16="Menor"),CONCATENATE("R",'Mapa Instituc Corrupc 2023'!$A$16),"")</f>
        <v/>
      </c>
      <c r="S30" s="456"/>
      <c r="T30" s="456" t="str">
        <f ca="1">IF(AND('Mapa Instituc Corrupc 2023'!$H$22="Baja",'Mapa Instituc Corrupc 2023'!$L$22="Menor"),CONCATENATE("R",'Mapa Instituc Corrupc 2023'!$A$22),"")</f>
        <v/>
      </c>
      <c r="U30" s="457"/>
      <c r="V30" s="455" t="str">
        <f ca="1">IF(AND('Mapa Instituc Corrupc 2023'!$H$10="Baja",'Mapa Instituc Corrupc 2023'!$L$10="Moderado"),CONCATENATE("R",'Mapa Instituc Corrupc 2023'!$A$10),"")</f>
        <v/>
      </c>
      <c r="W30" s="456"/>
      <c r="X30" s="456" t="str">
        <f ca="1">IF(AND('Mapa Instituc Corrupc 2023'!$H$16="Baja",'Mapa Instituc Corrupc 2023'!$L$16="Moderado"),CONCATENATE("R",'Mapa Instituc Corrupc 2023'!$A$16),"")</f>
        <v/>
      </c>
      <c r="Y30" s="456"/>
      <c r="Z30" s="456" t="str">
        <f ca="1">IF(AND('Mapa Instituc Corrupc 2023'!$H$22="Baja",'Mapa Instituc Corrupc 2023'!$L$22="Moderado"),CONCATENATE("R",'Mapa Instituc Corrupc 2023'!$A$22),"")</f>
        <v/>
      </c>
      <c r="AA30" s="457"/>
      <c r="AB30" s="430" t="str">
        <f ca="1">IF(AND('Mapa Instituc Corrupc 2023'!$H$10="Baja",'Mapa Instituc Corrupc 2023'!$L$10="Mayor"),CONCATENATE("R",'Mapa Instituc Corrupc 2023'!$A$10),"")</f>
        <v/>
      </c>
      <c r="AC30" s="431"/>
      <c r="AD30" s="431" t="str">
        <f ca="1">IF(AND('Mapa Instituc Corrupc 2023'!$H$16="Baja",'Mapa Instituc Corrupc 2023'!$L$16="Mayor"),CONCATENATE("R",'Mapa Instituc Corrupc 2023'!$A$16),"")</f>
        <v/>
      </c>
      <c r="AE30" s="431"/>
      <c r="AF30" s="431" t="str">
        <f ca="1">IF(AND('Mapa Instituc Corrupc 2023'!$H$22="Baja",'Mapa Instituc Corrupc 2023'!$L$22="Mayor"),CONCATENATE("R",'Mapa Instituc Corrupc 2023'!$A$22),"")</f>
        <v/>
      </c>
      <c r="AG30" s="433"/>
      <c r="AH30" s="446" t="str">
        <f ca="1">IF(AND('Mapa Instituc Corrupc 2023'!$H$10="Baja",'Mapa Instituc Corrupc 2023'!$L$10="Catastrófico"),CONCATENATE("R",'Mapa Instituc Corrupc 2023'!$A$10),"")</f>
        <v/>
      </c>
      <c r="AI30" s="447"/>
      <c r="AJ30" s="447" t="str">
        <f ca="1">IF(AND('Mapa Instituc Corrupc 2023'!$H$16="Baja",'Mapa Instituc Corrupc 2023'!$L$16="Catastrófico"),CONCATENATE("R",'Mapa Instituc Corrupc 2023'!$A$16),"")</f>
        <v/>
      </c>
      <c r="AK30" s="447"/>
      <c r="AL30" s="447" t="str">
        <f ca="1">IF(AND('Mapa Instituc Corrupc 2023'!$H$22="Baja",'Mapa Instituc Corrupc 2023'!$L$22="Catastrófico"),CONCATENATE("R",'Mapa Instituc Corrupc 2023'!$A$22),"")</f>
        <v/>
      </c>
      <c r="AM30" s="448"/>
      <c r="AN30" s="83"/>
      <c r="AO30" s="409" t="s">
        <v>82</v>
      </c>
      <c r="AP30" s="410"/>
      <c r="AQ30" s="410"/>
      <c r="AR30" s="410"/>
      <c r="AS30" s="410"/>
      <c r="AT30" s="411"/>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80"/>
      <c r="C31" s="380"/>
      <c r="D31" s="381"/>
      <c r="E31" s="421"/>
      <c r="F31" s="422"/>
      <c r="G31" s="422"/>
      <c r="H31" s="422"/>
      <c r="I31" s="435"/>
      <c r="J31" s="460"/>
      <c r="K31" s="458"/>
      <c r="L31" s="458"/>
      <c r="M31" s="458"/>
      <c r="N31" s="458"/>
      <c r="O31" s="459"/>
      <c r="P31" s="450"/>
      <c r="Q31" s="450"/>
      <c r="R31" s="450"/>
      <c r="S31" s="450"/>
      <c r="T31" s="450"/>
      <c r="U31" s="451"/>
      <c r="V31" s="449"/>
      <c r="W31" s="450"/>
      <c r="X31" s="450"/>
      <c r="Y31" s="450"/>
      <c r="Z31" s="450"/>
      <c r="AA31" s="451"/>
      <c r="AB31" s="432"/>
      <c r="AC31" s="429"/>
      <c r="AD31" s="429"/>
      <c r="AE31" s="429"/>
      <c r="AF31" s="429"/>
      <c r="AG31" s="428"/>
      <c r="AH31" s="440"/>
      <c r="AI31" s="441"/>
      <c r="AJ31" s="441"/>
      <c r="AK31" s="441"/>
      <c r="AL31" s="441"/>
      <c r="AM31" s="442"/>
      <c r="AN31" s="83"/>
      <c r="AO31" s="412"/>
      <c r="AP31" s="413"/>
      <c r="AQ31" s="413"/>
      <c r="AR31" s="413"/>
      <c r="AS31" s="413"/>
      <c r="AT31" s="41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80"/>
      <c r="C32" s="380"/>
      <c r="D32" s="381"/>
      <c r="E32" s="421"/>
      <c r="F32" s="422"/>
      <c r="G32" s="422"/>
      <c r="H32" s="422"/>
      <c r="I32" s="435"/>
      <c r="J32" s="460" t="str">
        <f ca="1">IF(AND('Mapa Instituc Corrupc 2023'!$H$28="Baja",'Mapa Instituc Corrupc 2023'!$L$28="Leve"),CONCATENATE("R",'Mapa Instituc Corrupc 2023'!$A$28),"")</f>
        <v/>
      </c>
      <c r="K32" s="458"/>
      <c r="L32" s="458" t="str">
        <f ca="1">IF(AND('Mapa Instituc Corrupc 2023'!$H$34="Baja",'Mapa Instituc Corrupc 2023'!$L$34="Leve"),CONCATENATE("R",'Mapa Instituc Corrupc 2023'!$A$34),"")</f>
        <v/>
      </c>
      <c r="M32" s="458"/>
      <c r="N32" s="458" t="str">
        <f ca="1">IF(AND('Mapa Instituc Corrupc 2023'!$H$40="Baja",'Mapa Instituc Corrupc 2023'!$L$40="Leve"),CONCATENATE("R",'Mapa Instituc Corrupc 2023'!$A$40),"")</f>
        <v/>
      </c>
      <c r="O32" s="459"/>
      <c r="P32" s="450" t="str">
        <f ca="1">IF(AND('Mapa Instituc Corrupc 2023'!$H$28="Baja",'Mapa Instituc Corrupc 2023'!$L$28="Menor"),CONCATENATE("R",'Mapa Instituc Corrupc 2023'!$A$28),"")</f>
        <v/>
      </c>
      <c r="Q32" s="450"/>
      <c r="R32" s="450" t="str">
        <f ca="1">IF(AND('Mapa Instituc Corrupc 2023'!$H$34="Baja",'Mapa Instituc Corrupc 2023'!$L$34="Menor"),CONCATENATE("R",'Mapa Instituc Corrupc 2023'!$A$34),"")</f>
        <v/>
      </c>
      <c r="S32" s="450"/>
      <c r="T32" s="450" t="str">
        <f ca="1">IF(AND('Mapa Instituc Corrupc 2023'!$H$40="Baja",'Mapa Instituc Corrupc 2023'!$L$40="Menor"),CONCATENATE("R",'Mapa Instituc Corrupc 2023'!$A$40),"")</f>
        <v/>
      </c>
      <c r="U32" s="451"/>
      <c r="V32" s="449" t="str">
        <f ca="1">IF(AND('Mapa Instituc Corrupc 2023'!$H$28="Baja",'Mapa Instituc Corrupc 2023'!$L$28="Moderado"),CONCATENATE("R",'Mapa Instituc Corrupc 2023'!$A$28),"")</f>
        <v/>
      </c>
      <c r="W32" s="450"/>
      <c r="X32" s="450" t="str">
        <f ca="1">IF(AND('Mapa Instituc Corrupc 2023'!$H$34="Baja",'Mapa Instituc Corrupc 2023'!$L$34="Moderado"),CONCATENATE("R",'Mapa Instituc Corrupc 2023'!$A$34),"")</f>
        <v/>
      </c>
      <c r="Y32" s="450"/>
      <c r="Z32" s="450" t="str">
        <f ca="1">IF(AND('Mapa Instituc Corrupc 2023'!$H$40="Baja",'Mapa Instituc Corrupc 2023'!$L$40="Moderado"),CONCATENATE("R",'Mapa Instituc Corrupc 2023'!$A$40),"")</f>
        <v/>
      </c>
      <c r="AA32" s="451"/>
      <c r="AB32" s="432" t="str">
        <f ca="1">IF(AND('Mapa Instituc Corrupc 2023'!$H$28="Baja",'Mapa Instituc Corrupc 2023'!$L$28="Mayor"),CONCATENATE("R",'Mapa Instituc Corrupc 2023'!$A$28),"")</f>
        <v/>
      </c>
      <c r="AC32" s="429"/>
      <c r="AD32" s="427" t="str">
        <f ca="1">IF(AND('Mapa Instituc Corrupc 2023'!$H$34="Baja",'Mapa Instituc Corrupc 2023'!$L$34="Mayor"),CONCATENATE("R",'Mapa Instituc Corrupc 2023'!$A$34),"")</f>
        <v/>
      </c>
      <c r="AE32" s="427"/>
      <c r="AF32" s="427" t="str">
        <f ca="1">IF(AND('Mapa Instituc Corrupc 2023'!$H$40="Baja",'Mapa Instituc Corrupc 2023'!$L$40="Mayor"),CONCATENATE("R",'Mapa Instituc Corrupc 2023'!$A$40),"")</f>
        <v/>
      </c>
      <c r="AG32" s="428"/>
      <c r="AH32" s="440" t="str">
        <f ca="1">IF(AND('Mapa Instituc Corrupc 2023'!$H$28="Baja",'Mapa Instituc Corrupc 2023'!$L$28="Catastrófico"),CONCATENATE("R",'Mapa Instituc Corrupc 2023'!$A$28),"")</f>
        <v/>
      </c>
      <c r="AI32" s="441"/>
      <c r="AJ32" s="441" t="str">
        <f ca="1">IF(AND('Mapa Instituc Corrupc 2023'!$H$34="Baja",'Mapa Instituc Corrupc 2023'!$L$34="Catastrófico"),CONCATENATE("R",'Mapa Instituc Corrupc 2023'!$A$34),"")</f>
        <v/>
      </c>
      <c r="AK32" s="441"/>
      <c r="AL32" s="441" t="str">
        <f ca="1">IF(AND('Mapa Instituc Corrupc 2023'!$H$40="Baja",'Mapa Instituc Corrupc 2023'!$L$40="Catastrófico"),CONCATENATE("R",'Mapa Instituc Corrupc 2023'!$A$40),"")</f>
        <v/>
      </c>
      <c r="AM32" s="442"/>
      <c r="AN32" s="83"/>
      <c r="AO32" s="412"/>
      <c r="AP32" s="413"/>
      <c r="AQ32" s="413"/>
      <c r="AR32" s="413"/>
      <c r="AS32" s="413"/>
      <c r="AT32" s="41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80"/>
      <c r="C33" s="380"/>
      <c r="D33" s="381"/>
      <c r="E33" s="421"/>
      <c r="F33" s="422"/>
      <c r="G33" s="422"/>
      <c r="H33" s="422"/>
      <c r="I33" s="435"/>
      <c r="J33" s="460"/>
      <c r="K33" s="458"/>
      <c r="L33" s="458"/>
      <c r="M33" s="458"/>
      <c r="N33" s="458"/>
      <c r="O33" s="459"/>
      <c r="P33" s="450"/>
      <c r="Q33" s="450"/>
      <c r="R33" s="450"/>
      <c r="S33" s="450"/>
      <c r="T33" s="450"/>
      <c r="U33" s="451"/>
      <c r="V33" s="449"/>
      <c r="W33" s="450"/>
      <c r="X33" s="450"/>
      <c r="Y33" s="450"/>
      <c r="Z33" s="450"/>
      <c r="AA33" s="451"/>
      <c r="AB33" s="432"/>
      <c r="AC33" s="429"/>
      <c r="AD33" s="427"/>
      <c r="AE33" s="427"/>
      <c r="AF33" s="427"/>
      <c r="AG33" s="428"/>
      <c r="AH33" s="440"/>
      <c r="AI33" s="441"/>
      <c r="AJ33" s="441"/>
      <c r="AK33" s="441"/>
      <c r="AL33" s="441"/>
      <c r="AM33" s="442"/>
      <c r="AN33" s="83"/>
      <c r="AO33" s="412"/>
      <c r="AP33" s="413"/>
      <c r="AQ33" s="413"/>
      <c r="AR33" s="413"/>
      <c r="AS33" s="413"/>
      <c r="AT33" s="41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80"/>
      <c r="C34" s="380"/>
      <c r="D34" s="381"/>
      <c r="E34" s="421"/>
      <c r="F34" s="422"/>
      <c r="G34" s="422"/>
      <c r="H34" s="422"/>
      <c r="I34" s="435"/>
      <c r="J34" s="460" t="str">
        <f ca="1">IF(AND('Mapa Instituc Corrupc 2023'!$H$46="Baja",'Mapa Instituc Corrupc 2023'!$L$46="Leve"),CONCATENATE("R",'Mapa Instituc Corrupc 2023'!$A$46),"")</f>
        <v/>
      </c>
      <c r="K34" s="458"/>
      <c r="L34" s="458" t="str">
        <f ca="1">IF(AND('Mapa Instituc Corrupc 2023'!$H$52="Baja",'Mapa Instituc Corrupc 2023'!$L$52="Leve"),CONCATENATE("R",'Mapa Instituc Corrupc 2023'!$A$52),"")</f>
        <v/>
      </c>
      <c r="M34" s="458"/>
      <c r="N34" s="458" t="str">
        <f ca="1">IF(AND('Mapa Instituc Corrupc 2023'!$H$58="Baja",'Mapa Instituc Corrupc 2023'!$L$58="Leve"),CONCATENATE("R",'Mapa Instituc Corrupc 2023'!$A$58),"")</f>
        <v/>
      </c>
      <c r="O34" s="459"/>
      <c r="P34" s="450" t="str">
        <f ca="1">IF(AND('Mapa Instituc Corrupc 2023'!$H$46="Baja",'Mapa Instituc Corrupc 2023'!$L$46="Menor"),CONCATENATE("R",'Mapa Instituc Corrupc 2023'!$A$46),"")</f>
        <v/>
      </c>
      <c r="Q34" s="450"/>
      <c r="R34" s="450" t="str">
        <f ca="1">IF(AND('Mapa Instituc Corrupc 2023'!$H$52="Baja",'Mapa Instituc Corrupc 2023'!$L$52="Menor"),CONCATENATE("R",'Mapa Instituc Corrupc 2023'!$A$52),"")</f>
        <v/>
      </c>
      <c r="S34" s="450"/>
      <c r="T34" s="450" t="str">
        <f ca="1">IF(AND('Mapa Instituc Corrupc 2023'!$H$58="Baja",'Mapa Instituc Corrupc 2023'!$L$58="Menor"),CONCATENATE("R",'Mapa Instituc Corrupc 2023'!$A$58),"")</f>
        <v/>
      </c>
      <c r="U34" s="451"/>
      <c r="V34" s="449" t="str">
        <f ca="1">IF(AND('Mapa Instituc Corrupc 2023'!$H$46="Baja",'Mapa Instituc Corrupc 2023'!$L$46="Moderado"),CONCATENATE("R",'Mapa Instituc Corrupc 2023'!$A$46),"")</f>
        <v/>
      </c>
      <c r="W34" s="450"/>
      <c r="X34" s="450" t="str">
        <f ca="1">IF(AND('Mapa Instituc Corrupc 2023'!$H$52="Baja",'Mapa Instituc Corrupc 2023'!$L$52="Moderado"),CONCATENATE("R",'Mapa Instituc Corrupc 2023'!$A$52),"")</f>
        <v/>
      </c>
      <c r="Y34" s="450"/>
      <c r="Z34" s="450" t="str">
        <f ca="1">IF(AND('Mapa Instituc Corrupc 2023'!$H$58="Baja",'Mapa Instituc Corrupc 2023'!$L$58="Moderado"),CONCATENATE("R",'Mapa Instituc Corrupc 2023'!$A$58),"")</f>
        <v/>
      </c>
      <c r="AA34" s="451"/>
      <c r="AB34" s="432" t="str">
        <f ca="1">IF(AND('Mapa Instituc Corrupc 2023'!$H$46="Baja",'Mapa Instituc Corrupc 2023'!$L$46="Mayor"),CONCATENATE("R",'Mapa Instituc Corrupc 2023'!$A$46),"")</f>
        <v/>
      </c>
      <c r="AC34" s="429"/>
      <c r="AD34" s="427" t="str">
        <f ca="1">IF(AND('Mapa Instituc Corrupc 2023'!$H$52="Baja",'Mapa Instituc Corrupc 2023'!$L$52="Mayor"),CONCATENATE("R",'Mapa Instituc Corrupc 2023'!$A$52),"")</f>
        <v/>
      </c>
      <c r="AE34" s="427"/>
      <c r="AF34" s="427" t="str">
        <f ca="1">IF(AND('Mapa Instituc Corrupc 2023'!$H$58="Baja",'Mapa Instituc Corrupc 2023'!$L$58="Mayor"),CONCATENATE("R",'Mapa Instituc Corrupc 2023'!$A$58),"")</f>
        <v/>
      </c>
      <c r="AG34" s="428"/>
      <c r="AH34" s="440" t="str">
        <f ca="1">IF(AND('Mapa Instituc Corrupc 2023'!$H$46="Baja",'Mapa Instituc Corrupc 2023'!$L$46="Catastrófico"),CONCATENATE("R",'Mapa Instituc Corrupc 2023'!$A$46),"")</f>
        <v/>
      </c>
      <c r="AI34" s="441"/>
      <c r="AJ34" s="441" t="str">
        <f ca="1">IF(AND('Mapa Instituc Corrupc 2023'!$H$52="Baja",'Mapa Instituc Corrupc 2023'!$L$52="Catastrófico"),CONCATENATE("R",'Mapa Instituc Corrupc 2023'!$A$52),"")</f>
        <v/>
      </c>
      <c r="AK34" s="441"/>
      <c r="AL34" s="441" t="str">
        <f ca="1">IF(AND('Mapa Instituc Corrupc 2023'!$H$58="Baja",'Mapa Instituc Corrupc 2023'!$L$58="Catastrófico"),CONCATENATE("R",'Mapa Instituc Corrupc 2023'!$A$58),"")</f>
        <v/>
      </c>
      <c r="AM34" s="442"/>
      <c r="AN34" s="83"/>
      <c r="AO34" s="412"/>
      <c r="AP34" s="413"/>
      <c r="AQ34" s="413"/>
      <c r="AR34" s="413"/>
      <c r="AS34" s="413"/>
      <c r="AT34" s="41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80"/>
      <c r="C35" s="380"/>
      <c r="D35" s="381"/>
      <c r="E35" s="421"/>
      <c r="F35" s="422"/>
      <c r="G35" s="422"/>
      <c r="H35" s="422"/>
      <c r="I35" s="435"/>
      <c r="J35" s="460"/>
      <c r="K35" s="458"/>
      <c r="L35" s="458"/>
      <c r="M35" s="458"/>
      <c r="N35" s="458"/>
      <c r="O35" s="459"/>
      <c r="P35" s="450"/>
      <c r="Q35" s="450"/>
      <c r="R35" s="450"/>
      <c r="S35" s="450"/>
      <c r="T35" s="450"/>
      <c r="U35" s="451"/>
      <c r="V35" s="449"/>
      <c r="W35" s="450"/>
      <c r="X35" s="450"/>
      <c r="Y35" s="450"/>
      <c r="Z35" s="450"/>
      <c r="AA35" s="451"/>
      <c r="AB35" s="432"/>
      <c r="AC35" s="429"/>
      <c r="AD35" s="427"/>
      <c r="AE35" s="427"/>
      <c r="AF35" s="427"/>
      <c r="AG35" s="428"/>
      <c r="AH35" s="440"/>
      <c r="AI35" s="441"/>
      <c r="AJ35" s="441"/>
      <c r="AK35" s="441"/>
      <c r="AL35" s="441"/>
      <c r="AM35" s="442"/>
      <c r="AN35" s="83"/>
      <c r="AO35" s="412"/>
      <c r="AP35" s="413"/>
      <c r="AQ35" s="413"/>
      <c r="AR35" s="413"/>
      <c r="AS35" s="413"/>
      <c r="AT35" s="414"/>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80"/>
      <c r="C36" s="380"/>
      <c r="D36" s="381"/>
      <c r="E36" s="421"/>
      <c r="F36" s="422"/>
      <c r="G36" s="422"/>
      <c r="H36" s="422"/>
      <c r="I36" s="435"/>
      <c r="J36" s="460" t="str">
        <f ca="1">IF(AND('Mapa Instituc Corrupc 2023'!$H$64="Baja",'Mapa Instituc Corrupc 2023'!$L$64="Leve"),CONCATENATE("R",'Mapa Instituc Corrupc 2023'!$A$64),"")</f>
        <v/>
      </c>
      <c r="K36" s="458"/>
      <c r="L36" s="458" t="str">
        <f>IF(AND('Mapa Instituc Corrupc 2023'!$H$70="Baja",'Mapa Instituc Corrupc 2023'!$L$70="Leve"),CONCATENATE("R",'Mapa Instituc Corrupc 2023'!$A$70),"")</f>
        <v/>
      </c>
      <c r="M36" s="458"/>
      <c r="N36" s="458" t="str">
        <f>IF(AND('Mapa Instituc Corrupc 2023'!$H$74="Baja",'Mapa Instituc Corrupc 2023'!$L$74="Leve"),CONCATENATE("R",'Mapa Instituc Corrupc 2023'!$A$74),"")</f>
        <v/>
      </c>
      <c r="O36" s="459"/>
      <c r="P36" s="450" t="str">
        <f ca="1">IF(AND('Mapa Instituc Corrupc 2023'!$H$64="Baja",'Mapa Instituc Corrupc 2023'!$L$64="Menor"),CONCATENATE("R",'Mapa Instituc Corrupc 2023'!$A$64),"")</f>
        <v/>
      </c>
      <c r="Q36" s="450"/>
      <c r="R36" s="450" t="str">
        <f>IF(AND('Mapa Instituc Corrupc 2023'!$H$70="Baja",'Mapa Instituc Corrupc 2023'!$L$70="Menor"),CONCATENATE("R",'Mapa Instituc Corrupc 2023'!$A$70),"")</f>
        <v/>
      </c>
      <c r="S36" s="450"/>
      <c r="T36" s="450" t="str">
        <f>IF(AND('Mapa Instituc Corrupc 2023'!$H$74="Baja",'Mapa Instituc Corrupc 2023'!$L$74="Menor"),CONCATENATE("R",'Mapa Instituc Corrupc 2023'!$A$74),"")</f>
        <v/>
      </c>
      <c r="U36" s="451"/>
      <c r="V36" s="449" t="str">
        <f ca="1">IF(AND('Mapa Instituc Corrupc 2023'!$H$64="Baja",'Mapa Instituc Corrupc 2023'!$L$64="Moderado"),CONCATENATE("R",'Mapa Instituc Corrupc 2023'!$A$64),"")</f>
        <v/>
      </c>
      <c r="W36" s="450"/>
      <c r="X36" s="450" t="str">
        <f>IF(AND('Mapa Instituc Corrupc 2023'!$H$70="Baja",'Mapa Instituc Corrupc 2023'!$L$70="Moderado"),CONCATENATE("R",'Mapa Instituc Corrupc 2023'!$A$70),"")</f>
        <v/>
      </c>
      <c r="Y36" s="450"/>
      <c r="Z36" s="450" t="str">
        <f>IF(AND('Mapa Instituc Corrupc 2023'!$H$74="Baja",'Mapa Instituc Corrupc 2023'!$L$74="Moderado"),CONCATENATE("R",'Mapa Instituc Corrupc 2023'!$A$74),"")</f>
        <v/>
      </c>
      <c r="AA36" s="451"/>
      <c r="AB36" s="432" t="str">
        <f ca="1">IF(AND('Mapa Instituc Corrupc 2023'!$H$64="Baja",'Mapa Instituc Corrupc 2023'!$L$64="Mayor"),CONCATENATE("R",'Mapa Instituc Corrupc 2023'!$A$64),"")</f>
        <v/>
      </c>
      <c r="AC36" s="429"/>
      <c r="AD36" s="427" t="str">
        <f>IF(AND('Mapa Instituc Corrupc 2023'!$H$70="Baja",'Mapa Instituc Corrupc 2023'!$L$70="Mayor"),CONCATENATE("R",'Mapa Instituc Corrupc 2023'!$A$70),"")</f>
        <v/>
      </c>
      <c r="AE36" s="427"/>
      <c r="AF36" s="427" t="str">
        <f>IF(AND('Mapa Instituc Corrupc 2023'!$H$74="Baja",'Mapa Instituc Corrupc 2023'!$L$74="Mayor"),CONCATENATE("R",'Mapa Instituc Corrupc 2023'!$A$74),"")</f>
        <v/>
      </c>
      <c r="AG36" s="428"/>
      <c r="AH36" s="440" t="str">
        <f ca="1">IF(AND('Mapa Instituc Corrupc 2023'!$H$64="Baja",'Mapa Instituc Corrupc 2023'!$L$64="Catastrófico"),CONCATENATE("R",'Mapa Instituc Corrupc 2023'!$A$64),"")</f>
        <v/>
      </c>
      <c r="AI36" s="441"/>
      <c r="AJ36" s="441" t="str">
        <f>IF(AND('Mapa Instituc Corrupc 2023'!$H$70="Baja",'Mapa Instituc Corrupc 2023'!$L$70="Catastrófico"),CONCATENATE("R",'Mapa Instituc Corrupc 2023'!$A$70),"")</f>
        <v/>
      </c>
      <c r="AK36" s="441"/>
      <c r="AL36" s="441" t="str">
        <f>IF(AND('Mapa Instituc Corrupc 2023'!$H$74="Baja",'Mapa Instituc Corrupc 2023'!$L$74="Catastrófico"),CONCATENATE("R",'Mapa Instituc Corrupc 2023'!$A$74),"")</f>
        <v/>
      </c>
      <c r="AM36" s="442"/>
      <c r="AN36" s="83"/>
      <c r="AO36" s="412"/>
      <c r="AP36" s="413"/>
      <c r="AQ36" s="413"/>
      <c r="AR36" s="413"/>
      <c r="AS36" s="413"/>
      <c r="AT36" s="41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380"/>
      <c r="C37" s="380"/>
      <c r="D37" s="381"/>
      <c r="E37" s="424"/>
      <c r="F37" s="425"/>
      <c r="G37" s="425"/>
      <c r="H37" s="425"/>
      <c r="I37" s="425"/>
      <c r="J37" s="461"/>
      <c r="K37" s="462"/>
      <c r="L37" s="462"/>
      <c r="M37" s="462"/>
      <c r="N37" s="462"/>
      <c r="O37" s="463"/>
      <c r="P37" s="453"/>
      <c r="Q37" s="453"/>
      <c r="R37" s="453"/>
      <c r="S37" s="453"/>
      <c r="T37" s="453"/>
      <c r="U37" s="454"/>
      <c r="V37" s="452"/>
      <c r="W37" s="453"/>
      <c r="X37" s="453"/>
      <c r="Y37" s="453"/>
      <c r="Z37" s="453"/>
      <c r="AA37" s="454"/>
      <c r="AB37" s="437"/>
      <c r="AC37" s="438"/>
      <c r="AD37" s="438"/>
      <c r="AE37" s="438"/>
      <c r="AF37" s="438"/>
      <c r="AG37" s="439"/>
      <c r="AH37" s="443"/>
      <c r="AI37" s="444"/>
      <c r="AJ37" s="444"/>
      <c r="AK37" s="444"/>
      <c r="AL37" s="444"/>
      <c r="AM37" s="445"/>
      <c r="AN37" s="83"/>
      <c r="AO37" s="415"/>
      <c r="AP37" s="416"/>
      <c r="AQ37" s="416"/>
      <c r="AR37" s="416"/>
      <c r="AS37" s="416"/>
      <c r="AT37" s="41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80"/>
      <c r="C38" s="380"/>
      <c r="D38" s="381"/>
      <c r="E38" s="418" t="s">
        <v>113</v>
      </c>
      <c r="F38" s="419"/>
      <c r="G38" s="419"/>
      <c r="H38" s="419"/>
      <c r="I38" s="420"/>
      <c r="J38" s="464" t="str">
        <f ca="1">IF(AND('Mapa Instituc Corrupc 2023'!$H$10="Muy Baja",'Mapa Instituc Corrupc 2023'!$L$10="Leve"),CONCATENATE("R",'Mapa Instituc Corrupc 2023'!$A$10),"")</f>
        <v/>
      </c>
      <c r="K38" s="465"/>
      <c r="L38" s="465" t="str">
        <f ca="1">IF(AND('Mapa Instituc Corrupc 2023'!$H$16="Muy Baja",'Mapa Instituc Corrupc 2023'!$L$16="Leve"),CONCATENATE("R",'Mapa Instituc Corrupc 2023'!$A$16),"")</f>
        <v/>
      </c>
      <c r="M38" s="465"/>
      <c r="N38" s="465" t="str">
        <f ca="1">IF(AND('Mapa Instituc Corrupc 2023'!$H$22="Muy Baja",'Mapa Instituc Corrupc 2023'!$L$22="Leve"),CONCATENATE("R",'Mapa Instituc Corrupc 2023'!$A$22),"")</f>
        <v/>
      </c>
      <c r="O38" s="466"/>
      <c r="P38" s="464" t="str">
        <f ca="1">IF(AND('Mapa Instituc Corrupc 2023'!$H$10="Muy Baja",'Mapa Instituc Corrupc 2023'!$L$10="Menor"),CONCATENATE("R",'Mapa Instituc Corrupc 2023'!$A$10),"")</f>
        <v/>
      </c>
      <c r="Q38" s="465"/>
      <c r="R38" s="465" t="str">
        <f ca="1">IF(AND('Mapa Instituc Corrupc 2023'!$H$16="Muy Baja",'Mapa Instituc Corrupc 2023'!$L$16="Menor"),CONCATENATE("R",'Mapa Instituc Corrupc 2023'!$A$16),"")</f>
        <v/>
      </c>
      <c r="S38" s="465"/>
      <c r="T38" s="465" t="str">
        <f ca="1">IF(AND('Mapa Instituc Corrupc 2023'!$H$22="Muy Baja",'Mapa Instituc Corrupc 2023'!$L$22="Menor"),CONCATENATE("R",'Mapa Instituc Corrupc 2023'!$A$22),"")</f>
        <v/>
      </c>
      <c r="U38" s="466"/>
      <c r="V38" s="455" t="str">
        <f ca="1">IF(AND('Mapa Instituc Corrupc 2023'!$H$10="Muy Baja",'Mapa Instituc Corrupc 2023'!$L$10="Moderado"),CONCATENATE("R",'Mapa Instituc Corrupc 2023'!$A$10),"")</f>
        <v/>
      </c>
      <c r="W38" s="456"/>
      <c r="X38" s="456" t="str">
        <f ca="1">IF(AND('Mapa Instituc Corrupc 2023'!$H$16="Muy Baja",'Mapa Instituc Corrupc 2023'!$L$16="Moderado"),CONCATENATE("R",'Mapa Instituc Corrupc 2023'!$A$16),"")</f>
        <v/>
      </c>
      <c r="Y38" s="456"/>
      <c r="Z38" s="456" t="str">
        <f ca="1">IF(AND('Mapa Instituc Corrupc 2023'!$H$22="Muy Baja",'Mapa Instituc Corrupc 2023'!$L$22="Moderado"),CONCATENATE("R",'Mapa Instituc Corrupc 2023'!$A$22),"")</f>
        <v/>
      </c>
      <c r="AA38" s="457"/>
      <c r="AB38" s="430" t="str">
        <f ca="1">IF(AND('Mapa Instituc Corrupc 2023'!$H$10="Muy Baja",'Mapa Instituc Corrupc 2023'!$L$10="Mayor"),CONCATENATE("R",'Mapa Instituc Corrupc 2023'!$A$10),"")</f>
        <v/>
      </c>
      <c r="AC38" s="431"/>
      <c r="AD38" s="431" t="str">
        <f ca="1">IF(AND('Mapa Instituc Corrupc 2023'!$H$16="Muy Baja",'Mapa Instituc Corrupc 2023'!$L$16="Mayor"),CONCATENATE("R",'Mapa Instituc Corrupc 2023'!$A$16),"")</f>
        <v/>
      </c>
      <c r="AE38" s="431"/>
      <c r="AF38" s="431" t="str">
        <f ca="1">IF(AND('Mapa Instituc Corrupc 2023'!$H$22="Muy Baja",'Mapa Instituc Corrupc 2023'!$L$22="Mayor"),CONCATENATE("R",'Mapa Instituc Corrupc 2023'!$A$22),"")</f>
        <v/>
      </c>
      <c r="AG38" s="433"/>
      <c r="AH38" s="446" t="str">
        <f ca="1">IF(AND('Mapa Instituc Corrupc 2023'!$H$10="Muy Baja",'Mapa Instituc Corrupc 2023'!$L$10="Catastrófico"),CONCATENATE("R",'Mapa Instituc Corrupc 2023'!$A$10),"")</f>
        <v/>
      </c>
      <c r="AI38" s="447"/>
      <c r="AJ38" s="447" t="str">
        <f ca="1">IF(AND('Mapa Instituc Corrupc 2023'!$H$16="Muy Baja",'Mapa Instituc Corrupc 2023'!$L$16="Catastrófico"),CONCATENATE("R",'Mapa Instituc Corrupc 2023'!$A$16),"")</f>
        <v/>
      </c>
      <c r="AK38" s="447"/>
      <c r="AL38" s="447" t="str">
        <f ca="1">IF(AND('Mapa Instituc Corrupc 2023'!$H$22="Muy Baja",'Mapa Instituc Corrupc 2023'!$L$22="Catastrófico"),CONCATENATE("R",'Mapa Instituc Corrupc 2023'!$A$22),"")</f>
        <v/>
      </c>
      <c r="AM38" s="448"/>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80"/>
      <c r="C39" s="380"/>
      <c r="D39" s="381"/>
      <c r="E39" s="421"/>
      <c r="F39" s="422"/>
      <c r="G39" s="422"/>
      <c r="H39" s="422"/>
      <c r="I39" s="423"/>
      <c r="J39" s="460"/>
      <c r="K39" s="458"/>
      <c r="L39" s="458"/>
      <c r="M39" s="458"/>
      <c r="N39" s="458"/>
      <c r="O39" s="459"/>
      <c r="P39" s="460"/>
      <c r="Q39" s="458"/>
      <c r="R39" s="458"/>
      <c r="S39" s="458"/>
      <c r="T39" s="458"/>
      <c r="U39" s="459"/>
      <c r="V39" s="449"/>
      <c r="W39" s="450"/>
      <c r="X39" s="450"/>
      <c r="Y39" s="450"/>
      <c r="Z39" s="450"/>
      <c r="AA39" s="451"/>
      <c r="AB39" s="432"/>
      <c r="AC39" s="429"/>
      <c r="AD39" s="429"/>
      <c r="AE39" s="429"/>
      <c r="AF39" s="429"/>
      <c r="AG39" s="428"/>
      <c r="AH39" s="440"/>
      <c r="AI39" s="441"/>
      <c r="AJ39" s="441"/>
      <c r="AK39" s="441"/>
      <c r="AL39" s="441"/>
      <c r="AM39" s="442"/>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80"/>
      <c r="C40" s="380"/>
      <c r="D40" s="381"/>
      <c r="E40" s="421"/>
      <c r="F40" s="422"/>
      <c r="G40" s="422"/>
      <c r="H40" s="422"/>
      <c r="I40" s="423"/>
      <c r="J40" s="460" t="str">
        <f ca="1">IF(AND('Mapa Instituc Corrupc 2023'!$H$28="Muy Baja",'Mapa Instituc Corrupc 2023'!$L$28="Leve"),CONCATENATE("R",'Mapa Instituc Corrupc 2023'!$A$28),"")</f>
        <v/>
      </c>
      <c r="K40" s="458"/>
      <c r="L40" s="458" t="str">
        <f ca="1">IF(AND('Mapa Instituc Corrupc 2023'!$H$34="Muy Baja",'Mapa Instituc Corrupc 2023'!$L$34="Leve"),CONCATENATE("R",'Mapa Instituc Corrupc 2023'!$A$34),"")</f>
        <v/>
      </c>
      <c r="M40" s="458"/>
      <c r="N40" s="458" t="str">
        <f ca="1">IF(AND('Mapa Instituc Corrupc 2023'!$H$40="Muy Baja",'Mapa Instituc Corrupc 2023'!$L$40="Leve"),CONCATENATE("R",'Mapa Instituc Corrupc 2023'!$A$40),"")</f>
        <v/>
      </c>
      <c r="O40" s="459"/>
      <c r="P40" s="460" t="str">
        <f ca="1">IF(AND('Mapa Instituc Corrupc 2023'!$H$28="Muy Baja",'Mapa Instituc Corrupc 2023'!$L$28="Menor"),CONCATENATE("R",'Mapa Instituc Corrupc 2023'!$A$28),"")</f>
        <v/>
      </c>
      <c r="Q40" s="458"/>
      <c r="R40" s="458" t="str">
        <f ca="1">IF(AND('Mapa Instituc Corrupc 2023'!$H$34="Muy Baja",'Mapa Instituc Corrupc 2023'!$L$34="Menor"),CONCATENATE("R",'Mapa Instituc Corrupc 2023'!$A$34),"")</f>
        <v/>
      </c>
      <c r="S40" s="458"/>
      <c r="T40" s="458" t="str">
        <f ca="1">IF(AND('Mapa Instituc Corrupc 2023'!$H$40="Muy Baja",'Mapa Instituc Corrupc 2023'!$L$40="Menor"),CONCATENATE("R",'Mapa Instituc Corrupc 2023'!$A$40),"")</f>
        <v/>
      </c>
      <c r="U40" s="459"/>
      <c r="V40" s="449" t="str">
        <f ca="1">IF(AND('Mapa Instituc Corrupc 2023'!$H$28="Muy Baja",'Mapa Instituc Corrupc 2023'!$L$28="Moderado"),CONCATENATE("R",'Mapa Instituc Corrupc 2023'!$A$28),"")</f>
        <v/>
      </c>
      <c r="W40" s="450"/>
      <c r="X40" s="450" t="str">
        <f ca="1">IF(AND('Mapa Instituc Corrupc 2023'!$H$34="Muy Baja",'Mapa Instituc Corrupc 2023'!$L$34="Moderado"),CONCATENATE("R",'Mapa Instituc Corrupc 2023'!$A$34),"")</f>
        <v/>
      </c>
      <c r="Y40" s="450"/>
      <c r="Z40" s="450" t="str">
        <f ca="1">IF(AND('Mapa Instituc Corrupc 2023'!$H$40="Muy Baja",'Mapa Instituc Corrupc 2023'!$L$40="Moderado"),CONCATENATE("R",'Mapa Instituc Corrupc 2023'!$A$40),"")</f>
        <v/>
      </c>
      <c r="AA40" s="451"/>
      <c r="AB40" s="432" t="str">
        <f ca="1">IF(AND('Mapa Instituc Corrupc 2023'!$H$28="Muy Baja",'Mapa Instituc Corrupc 2023'!$L$28="Mayor"),CONCATENATE("R",'Mapa Instituc Corrupc 2023'!$A$28),"")</f>
        <v/>
      </c>
      <c r="AC40" s="429"/>
      <c r="AD40" s="427" t="str">
        <f ca="1">IF(AND('Mapa Instituc Corrupc 2023'!$H$34="Muy Baja",'Mapa Instituc Corrupc 2023'!$L$34="Mayor"),CONCATENATE("R",'Mapa Instituc Corrupc 2023'!$A$34),"")</f>
        <v/>
      </c>
      <c r="AE40" s="427"/>
      <c r="AF40" s="427" t="str">
        <f ca="1">IF(AND('Mapa Instituc Corrupc 2023'!$H$40="Muy Baja",'Mapa Instituc Corrupc 2023'!$L$40="Mayor"),CONCATENATE("R",'Mapa Instituc Corrupc 2023'!$A$40),"")</f>
        <v/>
      </c>
      <c r="AG40" s="428"/>
      <c r="AH40" s="440" t="str">
        <f ca="1">IF(AND('Mapa Instituc Corrupc 2023'!$H$28="Muy Baja",'Mapa Instituc Corrupc 2023'!$L$28="Catastrófico"),CONCATENATE("R",'Mapa Instituc Corrupc 2023'!$A$28),"")</f>
        <v/>
      </c>
      <c r="AI40" s="441"/>
      <c r="AJ40" s="441" t="str">
        <f ca="1">IF(AND('Mapa Instituc Corrupc 2023'!$H$34="Muy Baja",'Mapa Instituc Corrupc 2023'!$L$34="Catastrófico"),CONCATENATE("R",'Mapa Instituc Corrupc 2023'!$A$34),"")</f>
        <v/>
      </c>
      <c r="AK40" s="441"/>
      <c r="AL40" s="441" t="str">
        <f ca="1">IF(AND('Mapa Instituc Corrupc 2023'!$H$40="Muy Baja",'Mapa Instituc Corrupc 2023'!$L$40="Catastrófico"),CONCATENATE("R",'Mapa Instituc Corrupc 2023'!$A$40),"")</f>
        <v/>
      </c>
      <c r="AM40" s="442"/>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80"/>
      <c r="C41" s="380"/>
      <c r="D41" s="381"/>
      <c r="E41" s="421"/>
      <c r="F41" s="422"/>
      <c r="G41" s="422"/>
      <c r="H41" s="422"/>
      <c r="I41" s="423"/>
      <c r="J41" s="460"/>
      <c r="K41" s="458"/>
      <c r="L41" s="458"/>
      <c r="M41" s="458"/>
      <c r="N41" s="458"/>
      <c r="O41" s="459"/>
      <c r="P41" s="460"/>
      <c r="Q41" s="458"/>
      <c r="R41" s="458"/>
      <c r="S41" s="458"/>
      <c r="T41" s="458"/>
      <c r="U41" s="459"/>
      <c r="V41" s="449"/>
      <c r="W41" s="450"/>
      <c r="X41" s="450"/>
      <c r="Y41" s="450"/>
      <c r="Z41" s="450"/>
      <c r="AA41" s="451"/>
      <c r="AB41" s="432"/>
      <c r="AC41" s="429"/>
      <c r="AD41" s="427"/>
      <c r="AE41" s="427"/>
      <c r="AF41" s="427"/>
      <c r="AG41" s="428"/>
      <c r="AH41" s="440"/>
      <c r="AI41" s="441"/>
      <c r="AJ41" s="441"/>
      <c r="AK41" s="441"/>
      <c r="AL41" s="441"/>
      <c r="AM41" s="442"/>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80"/>
      <c r="C42" s="380"/>
      <c r="D42" s="381"/>
      <c r="E42" s="421"/>
      <c r="F42" s="422"/>
      <c r="G42" s="422"/>
      <c r="H42" s="422"/>
      <c r="I42" s="423"/>
      <c r="J42" s="460" t="str">
        <f ca="1">IF(AND('Mapa Instituc Corrupc 2023'!$H$46="Muy Baja",'Mapa Instituc Corrupc 2023'!$L$46="Leve"),CONCATENATE("R",'Mapa Instituc Corrupc 2023'!$A$46),"")</f>
        <v/>
      </c>
      <c r="K42" s="458"/>
      <c r="L42" s="458" t="str">
        <f ca="1">IF(AND('Mapa Instituc Corrupc 2023'!$H$52="Muy Baja",'Mapa Instituc Corrupc 2023'!$L$52="Leve"),CONCATENATE("R",'Mapa Instituc Corrupc 2023'!$A$52),"")</f>
        <v/>
      </c>
      <c r="M42" s="458"/>
      <c r="N42" s="458" t="str">
        <f ca="1">IF(AND('Mapa Instituc Corrupc 2023'!$H$58="Muy Baja",'Mapa Instituc Corrupc 2023'!$L$58="Leve"),CONCATENATE("R",'Mapa Instituc Corrupc 2023'!$A$58),"")</f>
        <v/>
      </c>
      <c r="O42" s="459"/>
      <c r="P42" s="460" t="str">
        <f ca="1">IF(AND('Mapa Instituc Corrupc 2023'!$H$46="Muy Baja",'Mapa Instituc Corrupc 2023'!$L$46="Menor"),CONCATENATE("R",'Mapa Instituc Corrupc 2023'!$A$46),"")</f>
        <v/>
      </c>
      <c r="Q42" s="458"/>
      <c r="R42" s="458" t="str">
        <f ca="1">IF(AND('Mapa Instituc Corrupc 2023'!$H$52="Muy Baja",'Mapa Instituc Corrupc 2023'!$L$52="Menor"),CONCATENATE("R",'Mapa Instituc Corrupc 2023'!$A$52),"")</f>
        <v/>
      </c>
      <c r="S42" s="458"/>
      <c r="T42" s="458" t="str">
        <f ca="1">IF(AND('Mapa Instituc Corrupc 2023'!$H$58="Muy Baja",'Mapa Instituc Corrupc 2023'!$L$58="Menor"),CONCATENATE("R",'Mapa Instituc Corrupc 2023'!$A$58),"")</f>
        <v/>
      </c>
      <c r="U42" s="459"/>
      <c r="V42" s="449" t="str">
        <f ca="1">IF(AND('Mapa Instituc Corrupc 2023'!$H$46="Muy Baja",'Mapa Instituc Corrupc 2023'!$L$46="Moderado"),CONCATENATE("R",'Mapa Instituc Corrupc 2023'!$A$46),"")</f>
        <v/>
      </c>
      <c r="W42" s="450"/>
      <c r="X42" s="450" t="str">
        <f ca="1">IF(AND('Mapa Instituc Corrupc 2023'!$H$52="Muy Baja",'Mapa Instituc Corrupc 2023'!$L$52="Moderado"),CONCATENATE("R",'Mapa Instituc Corrupc 2023'!$A$52),"")</f>
        <v/>
      </c>
      <c r="Y42" s="450"/>
      <c r="Z42" s="450" t="str">
        <f ca="1">IF(AND('Mapa Instituc Corrupc 2023'!$H$58="Muy Baja",'Mapa Instituc Corrupc 2023'!$L$58="Moderado"),CONCATENATE("R",'Mapa Instituc Corrupc 2023'!$A$58),"")</f>
        <v/>
      </c>
      <c r="AA42" s="451"/>
      <c r="AB42" s="432" t="str">
        <f ca="1">IF(AND('Mapa Instituc Corrupc 2023'!$H$46="Muy Baja",'Mapa Instituc Corrupc 2023'!$L$46="Mayor"),CONCATENATE("R",'Mapa Instituc Corrupc 2023'!$A$46),"")</f>
        <v/>
      </c>
      <c r="AC42" s="429"/>
      <c r="AD42" s="427" t="str">
        <f ca="1">IF(AND('Mapa Instituc Corrupc 2023'!$H$52="Muy Baja",'Mapa Instituc Corrupc 2023'!$L$52="Mayor"),CONCATENATE("R",'Mapa Instituc Corrupc 2023'!$A$52),"")</f>
        <v/>
      </c>
      <c r="AE42" s="427"/>
      <c r="AF42" s="427" t="str">
        <f ca="1">IF(AND('Mapa Instituc Corrupc 2023'!$H$58="Muy Baja",'Mapa Instituc Corrupc 2023'!$L$58="Mayor"),CONCATENATE("R",'Mapa Instituc Corrupc 2023'!$A$58),"")</f>
        <v/>
      </c>
      <c r="AG42" s="428"/>
      <c r="AH42" s="440" t="str">
        <f ca="1">IF(AND('Mapa Instituc Corrupc 2023'!$H$46="Muy Baja",'Mapa Instituc Corrupc 2023'!$L$46="Catastrófico"),CONCATENATE("R",'Mapa Instituc Corrupc 2023'!$A$46),"")</f>
        <v/>
      </c>
      <c r="AI42" s="441"/>
      <c r="AJ42" s="441" t="str">
        <f ca="1">IF(AND('Mapa Instituc Corrupc 2023'!$H$52="Muy Baja",'Mapa Instituc Corrupc 2023'!$L$52="Catastrófico"),CONCATENATE("R",'Mapa Instituc Corrupc 2023'!$A$52),"")</f>
        <v/>
      </c>
      <c r="AK42" s="441"/>
      <c r="AL42" s="441" t="str">
        <f ca="1">IF(AND('Mapa Instituc Corrupc 2023'!$H$58="Muy Baja",'Mapa Instituc Corrupc 2023'!$L$58="Catastrófico"),CONCATENATE("R",'Mapa Instituc Corrupc 2023'!$A$58),"")</f>
        <v/>
      </c>
      <c r="AM42" s="442"/>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80"/>
      <c r="C43" s="380"/>
      <c r="D43" s="381"/>
      <c r="E43" s="421"/>
      <c r="F43" s="422"/>
      <c r="G43" s="422"/>
      <c r="H43" s="422"/>
      <c r="I43" s="423"/>
      <c r="J43" s="460"/>
      <c r="K43" s="458"/>
      <c r="L43" s="458"/>
      <c r="M43" s="458"/>
      <c r="N43" s="458"/>
      <c r="O43" s="459"/>
      <c r="P43" s="460"/>
      <c r="Q43" s="458"/>
      <c r="R43" s="458"/>
      <c r="S43" s="458"/>
      <c r="T43" s="458"/>
      <c r="U43" s="459"/>
      <c r="V43" s="449"/>
      <c r="W43" s="450"/>
      <c r="X43" s="450"/>
      <c r="Y43" s="450"/>
      <c r="Z43" s="450"/>
      <c r="AA43" s="451"/>
      <c r="AB43" s="432"/>
      <c r="AC43" s="429"/>
      <c r="AD43" s="427"/>
      <c r="AE43" s="427"/>
      <c r="AF43" s="427"/>
      <c r="AG43" s="428"/>
      <c r="AH43" s="440"/>
      <c r="AI43" s="441"/>
      <c r="AJ43" s="441"/>
      <c r="AK43" s="441"/>
      <c r="AL43" s="441"/>
      <c r="AM43" s="442"/>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80"/>
      <c r="C44" s="380"/>
      <c r="D44" s="381"/>
      <c r="E44" s="421"/>
      <c r="F44" s="422"/>
      <c r="G44" s="422"/>
      <c r="H44" s="422"/>
      <c r="I44" s="423"/>
      <c r="J44" s="460" t="str">
        <f ca="1">IF(AND('Mapa Instituc Corrupc 2023'!$H$64="Muy Baja",'Mapa Instituc Corrupc 2023'!$L$64="Leve"),CONCATENATE("R",'Mapa Instituc Corrupc 2023'!$A$64),"")</f>
        <v/>
      </c>
      <c r="K44" s="458"/>
      <c r="L44" s="458" t="str">
        <f>IF(AND('Mapa Instituc Corrupc 2023'!$H$70="Muy Baja",'Mapa Instituc Corrupc 2023'!$L$70="Leve"),CONCATENATE("R",'Mapa Instituc Corrupc 2023'!$A$70),"")</f>
        <v/>
      </c>
      <c r="M44" s="458"/>
      <c r="N44" s="458" t="str">
        <f>IF(AND('Mapa Instituc Corrupc 2023'!$H$74="Muy Baja",'Mapa Instituc Corrupc 2023'!$L$74="Leve"),CONCATENATE("R",'Mapa Instituc Corrupc 2023'!$A$74),"")</f>
        <v/>
      </c>
      <c r="O44" s="459"/>
      <c r="P44" s="460" t="str">
        <f ca="1">IF(AND('Mapa Instituc Corrupc 2023'!$H$64="Muy Baja",'Mapa Instituc Corrupc 2023'!$L$64="Menor"),CONCATENATE("R",'Mapa Instituc Corrupc 2023'!$A$64),"")</f>
        <v/>
      </c>
      <c r="Q44" s="458"/>
      <c r="R44" s="458" t="str">
        <f>IF(AND('Mapa Instituc Corrupc 2023'!$H$70="Muy Baja",'Mapa Instituc Corrupc 2023'!$L$70="Menor"),CONCATENATE("R",'Mapa Instituc Corrupc 2023'!$A$70),"")</f>
        <v/>
      </c>
      <c r="S44" s="458"/>
      <c r="T44" s="458" t="str">
        <f>IF(AND('Mapa Instituc Corrupc 2023'!$H$74="Muy Baja",'Mapa Instituc Corrupc 2023'!$L$74="Menor"),CONCATENATE("R",'Mapa Instituc Corrupc 2023'!$A$74),"")</f>
        <v/>
      </c>
      <c r="U44" s="459"/>
      <c r="V44" s="449" t="str">
        <f ca="1">IF(AND('Mapa Instituc Corrupc 2023'!$H$64="Muy Baja",'Mapa Instituc Corrupc 2023'!$L$64="Moderado"),CONCATENATE("R",'Mapa Instituc Corrupc 2023'!$A$64),"")</f>
        <v/>
      </c>
      <c r="W44" s="450"/>
      <c r="X44" s="450" t="str">
        <f>IF(AND('Mapa Instituc Corrupc 2023'!$H$70="Muy Baja",'Mapa Instituc Corrupc 2023'!$L$70="Moderado"),CONCATENATE("R",'Mapa Instituc Corrupc 2023'!$A$70),"")</f>
        <v/>
      </c>
      <c r="Y44" s="450"/>
      <c r="Z44" s="450" t="str">
        <f>IF(AND('Mapa Instituc Corrupc 2023'!$H$74="Muy Baja",'Mapa Instituc Corrupc 2023'!$L$74="Moderado"),CONCATENATE("R",'Mapa Instituc Corrupc 2023'!$A$74),"")</f>
        <v/>
      </c>
      <c r="AA44" s="451"/>
      <c r="AB44" s="432" t="str">
        <f ca="1">IF(AND('Mapa Instituc Corrupc 2023'!$H$64="Muy Baja",'Mapa Instituc Corrupc 2023'!$L$64="Mayor"),CONCATENATE("R",'Mapa Instituc Corrupc 2023'!$A$64),"")</f>
        <v/>
      </c>
      <c r="AC44" s="429"/>
      <c r="AD44" s="427" t="str">
        <f>IF(AND('Mapa Instituc Corrupc 2023'!$H$70="Muy Baja",'Mapa Instituc Corrupc 2023'!$L$70="Mayor"),CONCATENATE("R",'Mapa Instituc Corrupc 2023'!$A$70),"")</f>
        <v/>
      </c>
      <c r="AE44" s="427"/>
      <c r="AF44" s="427" t="str">
        <f>IF(AND('Mapa Instituc Corrupc 2023'!$H$74="Muy Baja",'Mapa Instituc Corrupc 2023'!$L$74="Mayor"),CONCATENATE("R",'Mapa Instituc Corrupc 2023'!$A$74),"")</f>
        <v/>
      </c>
      <c r="AG44" s="428"/>
      <c r="AH44" s="440" t="str">
        <f ca="1">IF(AND('Mapa Instituc Corrupc 2023'!$H$64="Muy Baja",'Mapa Instituc Corrupc 2023'!$L$64="Catastrófico"),CONCATENATE("R",'Mapa Instituc Corrupc 2023'!$A$64),"")</f>
        <v/>
      </c>
      <c r="AI44" s="441"/>
      <c r="AJ44" s="441" t="str">
        <f>IF(AND('Mapa Instituc Corrupc 2023'!$H$70="Muy Baja",'Mapa Instituc Corrupc 2023'!$L$70="Catastrófico"),CONCATENATE("R",'Mapa Instituc Corrupc 2023'!$A$70),"")</f>
        <v/>
      </c>
      <c r="AK44" s="441"/>
      <c r="AL44" s="441" t="str">
        <f>IF(AND('Mapa Instituc Corrupc 2023'!$H$74="Muy Baja",'Mapa Instituc Corrupc 2023'!$L$74="Catastrófico"),CONCATENATE("R",'Mapa Instituc Corrupc 2023'!$A$74),"")</f>
        <v/>
      </c>
      <c r="AM44" s="442"/>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380"/>
      <c r="C45" s="380"/>
      <c r="D45" s="381"/>
      <c r="E45" s="424"/>
      <c r="F45" s="425"/>
      <c r="G45" s="425"/>
      <c r="H45" s="425"/>
      <c r="I45" s="426"/>
      <c r="J45" s="461"/>
      <c r="K45" s="462"/>
      <c r="L45" s="462"/>
      <c r="M45" s="462"/>
      <c r="N45" s="462"/>
      <c r="O45" s="463"/>
      <c r="P45" s="461"/>
      <c r="Q45" s="462"/>
      <c r="R45" s="462"/>
      <c r="S45" s="462"/>
      <c r="T45" s="462"/>
      <c r="U45" s="463"/>
      <c r="V45" s="452"/>
      <c r="W45" s="453"/>
      <c r="X45" s="453"/>
      <c r="Y45" s="453"/>
      <c r="Z45" s="453"/>
      <c r="AA45" s="454"/>
      <c r="AB45" s="437"/>
      <c r="AC45" s="438"/>
      <c r="AD45" s="438"/>
      <c r="AE45" s="438"/>
      <c r="AF45" s="438"/>
      <c r="AG45" s="439"/>
      <c r="AH45" s="443"/>
      <c r="AI45" s="444"/>
      <c r="AJ45" s="444"/>
      <c r="AK45" s="444"/>
      <c r="AL45" s="444"/>
      <c r="AM45" s="445"/>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18" t="s">
        <v>112</v>
      </c>
      <c r="K46" s="419"/>
      <c r="L46" s="419"/>
      <c r="M46" s="419"/>
      <c r="N46" s="419"/>
      <c r="O46" s="420"/>
      <c r="P46" s="418" t="s">
        <v>111</v>
      </c>
      <c r="Q46" s="419"/>
      <c r="R46" s="419"/>
      <c r="S46" s="419"/>
      <c r="T46" s="419"/>
      <c r="U46" s="420"/>
      <c r="V46" s="418" t="s">
        <v>110</v>
      </c>
      <c r="W46" s="419"/>
      <c r="X46" s="419"/>
      <c r="Y46" s="419"/>
      <c r="Z46" s="419"/>
      <c r="AA46" s="420"/>
      <c r="AB46" s="418" t="s">
        <v>109</v>
      </c>
      <c r="AC46" s="436"/>
      <c r="AD46" s="419"/>
      <c r="AE46" s="419"/>
      <c r="AF46" s="419"/>
      <c r="AG46" s="420"/>
      <c r="AH46" s="418" t="s">
        <v>108</v>
      </c>
      <c r="AI46" s="419"/>
      <c r="AJ46" s="419"/>
      <c r="AK46" s="419"/>
      <c r="AL46" s="419"/>
      <c r="AM46" s="420"/>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21"/>
      <c r="K47" s="422"/>
      <c r="L47" s="422"/>
      <c r="M47" s="422"/>
      <c r="N47" s="422"/>
      <c r="O47" s="423"/>
      <c r="P47" s="421"/>
      <c r="Q47" s="422"/>
      <c r="R47" s="422"/>
      <c r="S47" s="422"/>
      <c r="T47" s="422"/>
      <c r="U47" s="423"/>
      <c r="V47" s="421"/>
      <c r="W47" s="422"/>
      <c r="X47" s="422"/>
      <c r="Y47" s="422"/>
      <c r="Z47" s="422"/>
      <c r="AA47" s="423"/>
      <c r="AB47" s="421"/>
      <c r="AC47" s="422"/>
      <c r="AD47" s="422"/>
      <c r="AE47" s="422"/>
      <c r="AF47" s="422"/>
      <c r="AG47" s="423"/>
      <c r="AH47" s="421"/>
      <c r="AI47" s="422"/>
      <c r="AJ47" s="422"/>
      <c r="AK47" s="422"/>
      <c r="AL47" s="422"/>
      <c r="AM47" s="42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21"/>
      <c r="K48" s="422"/>
      <c r="L48" s="422"/>
      <c r="M48" s="422"/>
      <c r="N48" s="422"/>
      <c r="O48" s="423"/>
      <c r="P48" s="421"/>
      <c r="Q48" s="422"/>
      <c r="R48" s="422"/>
      <c r="S48" s="422"/>
      <c r="T48" s="422"/>
      <c r="U48" s="423"/>
      <c r="V48" s="421"/>
      <c r="W48" s="422"/>
      <c r="X48" s="422"/>
      <c r="Y48" s="422"/>
      <c r="Z48" s="422"/>
      <c r="AA48" s="423"/>
      <c r="AB48" s="421"/>
      <c r="AC48" s="422"/>
      <c r="AD48" s="422"/>
      <c r="AE48" s="422"/>
      <c r="AF48" s="422"/>
      <c r="AG48" s="423"/>
      <c r="AH48" s="421"/>
      <c r="AI48" s="422"/>
      <c r="AJ48" s="422"/>
      <c r="AK48" s="422"/>
      <c r="AL48" s="422"/>
      <c r="AM48" s="42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21"/>
      <c r="K49" s="422"/>
      <c r="L49" s="422"/>
      <c r="M49" s="422"/>
      <c r="N49" s="422"/>
      <c r="O49" s="423"/>
      <c r="P49" s="421"/>
      <c r="Q49" s="422"/>
      <c r="R49" s="422"/>
      <c r="S49" s="422"/>
      <c r="T49" s="422"/>
      <c r="U49" s="423"/>
      <c r="V49" s="421"/>
      <c r="W49" s="422"/>
      <c r="X49" s="422"/>
      <c r="Y49" s="422"/>
      <c r="Z49" s="422"/>
      <c r="AA49" s="423"/>
      <c r="AB49" s="421"/>
      <c r="AC49" s="422"/>
      <c r="AD49" s="422"/>
      <c r="AE49" s="422"/>
      <c r="AF49" s="422"/>
      <c r="AG49" s="423"/>
      <c r="AH49" s="421"/>
      <c r="AI49" s="422"/>
      <c r="AJ49" s="422"/>
      <c r="AK49" s="422"/>
      <c r="AL49" s="422"/>
      <c r="AM49" s="42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21"/>
      <c r="K50" s="422"/>
      <c r="L50" s="422"/>
      <c r="M50" s="422"/>
      <c r="N50" s="422"/>
      <c r="O50" s="423"/>
      <c r="P50" s="421"/>
      <c r="Q50" s="422"/>
      <c r="R50" s="422"/>
      <c r="S50" s="422"/>
      <c r="T50" s="422"/>
      <c r="U50" s="423"/>
      <c r="V50" s="421"/>
      <c r="W50" s="422"/>
      <c r="X50" s="422"/>
      <c r="Y50" s="422"/>
      <c r="Z50" s="422"/>
      <c r="AA50" s="423"/>
      <c r="AB50" s="421"/>
      <c r="AC50" s="422"/>
      <c r="AD50" s="422"/>
      <c r="AE50" s="422"/>
      <c r="AF50" s="422"/>
      <c r="AG50" s="423"/>
      <c r="AH50" s="421"/>
      <c r="AI50" s="422"/>
      <c r="AJ50" s="422"/>
      <c r="AK50" s="422"/>
      <c r="AL50" s="422"/>
      <c r="AM50" s="42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24"/>
      <c r="K51" s="425"/>
      <c r="L51" s="425"/>
      <c r="M51" s="425"/>
      <c r="N51" s="425"/>
      <c r="O51" s="426"/>
      <c r="P51" s="424"/>
      <c r="Q51" s="425"/>
      <c r="R51" s="425"/>
      <c r="S51" s="425"/>
      <c r="T51" s="425"/>
      <c r="U51" s="426"/>
      <c r="V51" s="424"/>
      <c r="W51" s="425"/>
      <c r="X51" s="425"/>
      <c r="Y51" s="425"/>
      <c r="Z51" s="425"/>
      <c r="AA51" s="426"/>
      <c r="AB51" s="424"/>
      <c r="AC51" s="425"/>
      <c r="AD51" s="425"/>
      <c r="AE51" s="425"/>
      <c r="AF51" s="425"/>
      <c r="AG51" s="426"/>
      <c r="AH51" s="424"/>
      <c r="AI51" s="425"/>
      <c r="AJ51" s="425"/>
      <c r="AK51" s="425"/>
      <c r="AL51" s="425"/>
      <c r="AM51" s="426"/>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AB47" sqref="AB47"/>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494" t="s">
        <v>158</v>
      </c>
      <c r="C2" s="495"/>
      <c r="D2" s="495"/>
      <c r="E2" s="495"/>
      <c r="F2" s="495"/>
      <c r="G2" s="495"/>
      <c r="H2" s="495"/>
      <c r="I2" s="495"/>
      <c r="J2" s="434" t="s">
        <v>2</v>
      </c>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495"/>
      <c r="C3" s="495"/>
      <c r="D3" s="495"/>
      <c r="E3" s="495"/>
      <c r="F3" s="495"/>
      <c r="G3" s="495"/>
      <c r="H3" s="495"/>
      <c r="I3" s="495"/>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495"/>
      <c r="C4" s="495"/>
      <c r="D4" s="495"/>
      <c r="E4" s="495"/>
      <c r="F4" s="495"/>
      <c r="G4" s="495"/>
      <c r="H4" s="495"/>
      <c r="I4" s="495"/>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380" t="s">
        <v>4</v>
      </c>
      <c r="C6" s="380"/>
      <c r="D6" s="381"/>
      <c r="E6" s="477" t="s">
        <v>116</v>
      </c>
      <c r="F6" s="478"/>
      <c r="G6" s="478"/>
      <c r="H6" s="478"/>
      <c r="I6" s="496"/>
      <c r="J6" s="45" t="str">
        <f ca="1">IF(AND('Mapa Instituc Corrupc 2023'!$Y$10="Muy Alta",'Mapa Instituc Corrupc 2023'!$AA$10="Leve"),CONCATENATE("R1C",'Mapa Instituc Corrupc 2023'!$O$10),"")</f>
        <v/>
      </c>
      <c r="K6" s="46" t="str">
        <f>IF(AND('Mapa Instituc Corrupc 2023'!$Y$11="Muy Alta",'Mapa Instituc Corrupc 2023'!$AA$11="Leve"),CONCATENATE("R1C",'Mapa Instituc Corrupc 2023'!$O$11),"")</f>
        <v/>
      </c>
      <c r="L6" s="46" t="str">
        <f>IF(AND('Mapa Instituc Corrupc 2023'!$Y$12="Muy Alta",'Mapa Instituc Corrupc 2023'!$AA$12="Leve"),CONCATENATE("R1C",'Mapa Instituc Corrupc 2023'!$O$12),"")</f>
        <v/>
      </c>
      <c r="M6" s="46" t="str">
        <f>IF(AND('Mapa Instituc Corrupc 2023'!$Y$13="Muy Alta",'Mapa Instituc Corrupc 2023'!$AA$13="Leve"),CONCATENATE("R1C",'Mapa Instituc Corrupc 2023'!$O$13),"")</f>
        <v/>
      </c>
      <c r="N6" s="46" t="str">
        <f>IF(AND('Mapa Instituc Corrupc 2023'!$Y$14="Muy Alta",'Mapa Instituc Corrupc 2023'!$AA$14="Leve"),CONCATENATE("R1C",'Mapa Instituc Corrupc 2023'!$O$14),"")</f>
        <v/>
      </c>
      <c r="O6" s="47" t="str">
        <f>IF(AND('Mapa Instituc Corrupc 2023'!$Y$15="Muy Alta",'Mapa Instituc Corrupc 2023'!$AA$15="Leve"),CONCATENATE("R1C",'Mapa Instituc Corrupc 2023'!$O$15),"")</f>
        <v/>
      </c>
      <c r="P6" s="45" t="str">
        <f ca="1">IF(AND('Mapa Instituc Corrupc 2023'!$Y$10="Muy Alta",'Mapa Instituc Corrupc 2023'!$AA$10="Menor"),CONCATENATE("R1C",'Mapa Instituc Corrupc 2023'!$O$10),"")</f>
        <v/>
      </c>
      <c r="Q6" s="46" t="str">
        <f>IF(AND('Mapa Instituc Corrupc 2023'!$Y$11="Muy Alta",'Mapa Instituc Corrupc 2023'!$AA$11="Menor"),CONCATENATE("R1C",'Mapa Instituc Corrupc 2023'!$O$11),"")</f>
        <v/>
      </c>
      <c r="R6" s="46" t="str">
        <f>IF(AND('Mapa Instituc Corrupc 2023'!$Y$12="Muy Alta",'Mapa Instituc Corrupc 2023'!$AA$12="Menor"),CONCATENATE("R1C",'Mapa Instituc Corrupc 2023'!$O$12),"")</f>
        <v/>
      </c>
      <c r="S6" s="46" t="str">
        <f>IF(AND('Mapa Instituc Corrupc 2023'!$Y$13="Muy Alta",'Mapa Instituc Corrupc 2023'!$AA$13="Menor"),CONCATENATE("R1C",'Mapa Instituc Corrupc 2023'!$O$13),"")</f>
        <v/>
      </c>
      <c r="T6" s="46" t="str">
        <f>IF(AND('Mapa Instituc Corrupc 2023'!$Y$14="Muy Alta",'Mapa Instituc Corrupc 2023'!$AA$14="Menor"),CONCATENATE("R1C",'Mapa Instituc Corrupc 2023'!$O$14),"")</f>
        <v/>
      </c>
      <c r="U6" s="47" t="str">
        <f>IF(AND('Mapa Instituc Corrupc 2023'!$Y$15="Muy Alta",'Mapa Instituc Corrupc 2023'!$AA$15="Menor"),CONCATENATE("R1C",'Mapa Instituc Corrupc 2023'!$O$15),"")</f>
        <v/>
      </c>
      <c r="V6" s="45" t="str">
        <f ca="1">IF(AND('Mapa Instituc Corrupc 2023'!$Y$10="Muy Alta",'Mapa Instituc Corrupc 2023'!$AA$10="Moderado"),CONCATENATE("R1C",'Mapa Instituc Corrupc 2023'!$O$10),"")</f>
        <v/>
      </c>
      <c r="W6" s="46" t="str">
        <f>IF(AND('Mapa Instituc Corrupc 2023'!$Y$11="Muy Alta",'Mapa Instituc Corrupc 2023'!$AA$11="Moderado"),CONCATENATE("R1C",'Mapa Instituc Corrupc 2023'!$O$11),"")</f>
        <v/>
      </c>
      <c r="X6" s="46" t="str">
        <f>IF(AND('Mapa Instituc Corrupc 2023'!$Y$12="Muy Alta",'Mapa Instituc Corrupc 2023'!$AA$12="Moderado"),CONCATENATE("R1C",'Mapa Instituc Corrupc 2023'!$O$12),"")</f>
        <v/>
      </c>
      <c r="Y6" s="46" t="str">
        <f>IF(AND('Mapa Instituc Corrupc 2023'!$Y$13="Muy Alta",'Mapa Instituc Corrupc 2023'!$AA$13="Moderado"),CONCATENATE("R1C",'Mapa Instituc Corrupc 2023'!$O$13),"")</f>
        <v/>
      </c>
      <c r="Z6" s="46" t="str">
        <f>IF(AND('Mapa Instituc Corrupc 2023'!$Y$14="Muy Alta",'Mapa Instituc Corrupc 2023'!$AA$14="Moderado"),CONCATENATE("R1C",'Mapa Instituc Corrupc 2023'!$O$14),"")</f>
        <v/>
      </c>
      <c r="AA6" s="47" t="str">
        <f>IF(AND('Mapa Instituc Corrupc 2023'!$Y$15="Muy Alta",'Mapa Instituc Corrupc 2023'!$AA$15="Moderado"),CONCATENATE("R1C",'Mapa Instituc Corrupc 2023'!$O$15),"")</f>
        <v/>
      </c>
      <c r="AB6" s="45" t="str">
        <f ca="1">IF(AND('Mapa Instituc Corrupc 2023'!$Y$10="Muy Alta",'Mapa Instituc Corrupc 2023'!$AA$10="Mayor"),CONCATENATE("R1C",'Mapa Instituc Corrupc 2023'!$O$10),"")</f>
        <v/>
      </c>
      <c r="AC6" s="46" t="str">
        <f>IF(AND('Mapa Instituc Corrupc 2023'!$Y$11="Muy Alta",'Mapa Instituc Corrupc 2023'!$AA$11="Mayor"),CONCATENATE("R1C",'Mapa Instituc Corrupc 2023'!$O$11),"")</f>
        <v/>
      </c>
      <c r="AD6" s="46" t="str">
        <f>IF(AND('Mapa Instituc Corrupc 2023'!$Y$12="Muy Alta",'Mapa Instituc Corrupc 2023'!$AA$12="Mayor"),CONCATENATE("R1C",'Mapa Instituc Corrupc 2023'!$O$12),"")</f>
        <v/>
      </c>
      <c r="AE6" s="46" t="str">
        <f>IF(AND('Mapa Instituc Corrupc 2023'!$Y$13="Muy Alta",'Mapa Instituc Corrupc 2023'!$AA$13="Mayor"),CONCATENATE("R1C",'Mapa Instituc Corrupc 2023'!$O$13),"")</f>
        <v/>
      </c>
      <c r="AF6" s="46" t="str">
        <f>IF(AND('Mapa Instituc Corrupc 2023'!$Y$14="Muy Alta",'Mapa Instituc Corrupc 2023'!$AA$14="Mayor"),CONCATENATE("R1C",'Mapa Instituc Corrupc 2023'!$O$14),"")</f>
        <v/>
      </c>
      <c r="AG6" s="47" t="str">
        <f>IF(AND('Mapa Instituc Corrupc 2023'!$Y$15="Muy Alta",'Mapa Instituc Corrupc 2023'!$AA$15="Mayor"),CONCATENATE("R1C",'Mapa Instituc Corrupc 2023'!$O$15),"")</f>
        <v/>
      </c>
      <c r="AH6" s="48" t="str">
        <f ca="1">IF(AND('Mapa Instituc Corrupc 2023'!$Y$10="Muy Alta",'Mapa Instituc Corrupc 2023'!$AA$10="Catastrófico"),CONCATENATE("R1C",'Mapa Instituc Corrupc 2023'!$O$10),"")</f>
        <v/>
      </c>
      <c r="AI6" s="49" t="str">
        <f>IF(AND('Mapa Instituc Corrupc 2023'!$Y$11="Muy Alta",'Mapa Instituc Corrupc 2023'!$AA$11="Catastrófico"),CONCATENATE("R1C",'Mapa Instituc Corrupc 2023'!$O$11),"")</f>
        <v/>
      </c>
      <c r="AJ6" s="49" t="str">
        <f>IF(AND('Mapa Instituc Corrupc 2023'!$Y$12="Muy Alta",'Mapa Instituc Corrupc 2023'!$AA$12="Catastrófico"),CONCATENATE("R1C",'Mapa Instituc Corrupc 2023'!$O$12),"")</f>
        <v/>
      </c>
      <c r="AK6" s="49" t="str">
        <f>IF(AND('Mapa Instituc Corrupc 2023'!$Y$13="Muy Alta",'Mapa Instituc Corrupc 2023'!$AA$13="Catastrófico"),CONCATENATE("R1C",'Mapa Instituc Corrupc 2023'!$O$13),"")</f>
        <v/>
      </c>
      <c r="AL6" s="49" t="str">
        <f>IF(AND('Mapa Instituc Corrupc 2023'!$Y$14="Muy Alta",'Mapa Instituc Corrupc 2023'!$AA$14="Catastrófico"),CONCATENATE("R1C",'Mapa Instituc Corrupc 2023'!$O$14),"")</f>
        <v/>
      </c>
      <c r="AM6" s="50" t="str">
        <f>IF(AND('Mapa Instituc Corrupc 2023'!$Y$15="Muy Alta",'Mapa Instituc Corrupc 2023'!$AA$15="Catastrófico"),CONCATENATE("R1C",'Mapa Instituc Corrupc 2023'!$O$15),"")</f>
        <v/>
      </c>
      <c r="AN6" s="83"/>
      <c r="AO6" s="485" t="s">
        <v>79</v>
      </c>
      <c r="AP6" s="486"/>
      <c r="AQ6" s="486"/>
      <c r="AR6" s="486"/>
      <c r="AS6" s="486"/>
      <c r="AT6" s="487"/>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380"/>
      <c r="C7" s="380"/>
      <c r="D7" s="381"/>
      <c r="E7" s="481"/>
      <c r="F7" s="482"/>
      <c r="G7" s="482"/>
      <c r="H7" s="482"/>
      <c r="I7" s="497"/>
      <c r="J7" s="51" t="str">
        <f ca="1">IF(AND('Mapa Instituc Corrupc 2023'!$Y$16="Muy Alta",'Mapa Instituc Corrupc 2023'!$AA$16="Leve"),CONCATENATE("R2C",'Mapa Instituc Corrupc 2023'!$O$16),"")</f>
        <v/>
      </c>
      <c r="K7" s="52" t="str">
        <f>IF(AND('Mapa Instituc Corrupc 2023'!$Y$17="Muy Alta",'Mapa Instituc Corrupc 2023'!$AA$17="Leve"),CONCATENATE("R2C",'Mapa Instituc Corrupc 2023'!$O$17),"")</f>
        <v/>
      </c>
      <c r="L7" s="52" t="str">
        <f>IF(AND('Mapa Instituc Corrupc 2023'!$Y$18="Muy Alta",'Mapa Instituc Corrupc 2023'!$AA$18="Leve"),CONCATENATE("R2C",'Mapa Instituc Corrupc 2023'!$O$18),"")</f>
        <v/>
      </c>
      <c r="M7" s="52" t="str">
        <f>IF(AND('Mapa Instituc Corrupc 2023'!$Y$19="Muy Alta",'Mapa Instituc Corrupc 2023'!$AA$19="Leve"),CONCATENATE("R2C",'Mapa Instituc Corrupc 2023'!$O$19),"")</f>
        <v/>
      </c>
      <c r="N7" s="52" t="str">
        <f>IF(AND('Mapa Instituc Corrupc 2023'!$Y$20="Muy Alta",'Mapa Instituc Corrupc 2023'!$AA$20="Leve"),CONCATENATE("R2C",'Mapa Instituc Corrupc 2023'!$O$20),"")</f>
        <v/>
      </c>
      <c r="O7" s="53" t="str">
        <f>IF(AND('Mapa Instituc Corrupc 2023'!$Y$21="Muy Alta",'Mapa Instituc Corrupc 2023'!$AA$21="Leve"),CONCATENATE("R2C",'Mapa Instituc Corrupc 2023'!$O$21),"")</f>
        <v/>
      </c>
      <c r="P7" s="51" t="str">
        <f ca="1">IF(AND('Mapa Instituc Corrupc 2023'!$Y$16="Muy Alta",'Mapa Instituc Corrupc 2023'!$AA$16="Menor"),CONCATENATE("R2C",'Mapa Instituc Corrupc 2023'!$O$16),"")</f>
        <v/>
      </c>
      <c r="Q7" s="52" t="str">
        <f>IF(AND('Mapa Instituc Corrupc 2023'!$Y$17="Muy Alta",'Mapa Instituc Corrupc 2023'!$AA$17="Menor"),CONCATENATE("R2C",'Mapa Instituc Corrupc 2023'!$O$17),"")</f>
        <v/>
      </c>
      <c r="R7" s="52" t="str">
        <f>IF(AND('Mapa Instituc Corrupc 2023'!$Y$18="Muy Alta",'Mapa Instituc Corrupc 2023'!$AA$18="Menor"),CONCATENATE("R2C",'Mapa Instituc Corrupc 2023'!$O$18),"")</f>
        <v/>
      </c>
      <c r="S7" s="52" t="str">
        <f>IF(AND('Mapa Instituc Corrupc 2023'!$Y$19="Muy Alta",'Mapa Instituc Corrupc 2023'!$AA$19="Menor"),CONCATENATE("R2C",'Mapa Instituc Corrupc 2023'!$O$19),"")</f>
        <v/>
      </c>
      <c r="T7" s="52" t="str">
        <f>IF(AND('Mapa Instituc Corrupc 2023'!$Y$20="Muy Alta",'Mapa Instituc Corrupc 2023'!$AA$20="Menor"),CONCATENATE("R2C",'Mapa Instituc Corrupc 2023'!$O$20),"")</f>
        <v/>
      </c>
      <c r="U7" s="53" t="str">
        <f>IF(AND('Mapa Instituc Corrupc 2023'!$Y$21="Muy Alta",'Mapa Instituc Corrupc 2023'!$AA$21="Menor"),CONCATENATE("R2C",'Mapa Instituc Corrupc 2023'!$O$21),"")</f>
        <v/>
      </c>
      <c r="V7" s="51" t="str">
        <f ca="1">IF(AND('Mapa Instituc Corrupc 2023'!$Y$16="Muy Alta",'Mapa Instituc Corrupc 2023'!$AA$16="Moderado"),CONCATENATE("R2C",'Mapa Instituc Corrupc 2023'!$O$16),"")</f>
        <v/>
      </c>
      <c r="W7" s="52" t="str">
        <f>IF(AND('Mapa Instituc Corrupc 2023'!$Y$17="Muy Alta",'Mapa Instituc Corrupc 2023'!$AA$17="Moderado"),CONCATENATE("R2C",'Mapa Instituc Corrupc 2023'!$O$17),"")</f>
        <v/>
      </c>
      <c r="X7" s="52" t="str">
        <f>IF(AND('Mapa Instituc Corrupc 2023'!$Y$18="Muy Alta",'Mapa Instituc Corrupc 2023'!$AA$18="Moderado"),CONCATENATE("R2C",'Mapa Instituc Corrupc 2023'!$O$18),"")</f>
        <v/>
      </c>
      <c r="Y7" s="52" t="str">
        <f>IF(AND('Mapa Instituc Corrupc 2023'!$Y$19="Muy Alta",'Mapa Instituc Corrupc 2023'!$AA$19="Moderado"),CONCATENATE("R2C",'Mapa Instituc Corrupc 2023'!$O$19),"")</f>
        <v/>
      </c>
      <c r="Z7" s="52" t="str">
        <f>IF(AND('Mapa Instituc Corrupc 2023'!$Y$20="Muy Alta",'Mapa Instituc Corrupc 2023'!$AA$20="Moderado"),CONCATENATE("R2C",'Mapa Instituc Corrupc 2023'!$O$20),"")</f>
        <v/>
      </c>
      <c r="AA7" s="53" t="str">
        <f>IF(AND('Mapa Instituc Corrupc 2023'!$Y$21="Muy Alta",'Mapa Instituc Corrupc 2023'!$AA$21="Moderado"),CONCATENATE("R2C",'Mapa Instituc Corrupc 2023'!$O$21),"")</f>
        <v/>
      </c>
      <c r="AB7" s="51" t="str">
        <f ca="1">IF(AND('Mapa Instituc Corrupc 2023'!$Y$16="Muy Alta",'Mapa Instituc Corrupc 2023'!$AA$16="Mayor"),CONCATENATE("R2C",'Mapa Instituc Corrupc 2023'!$O$16),"")</f>
        <v/>
      </c>
      <c r="AC7" s="52" t="str">
        <f>IF(AND('Mapa Instituc Corrupc 2023'!$Y$17="Muy Alta",'Mapa Instituc Corrupc 2023'!$AA$17="Mayor"),CONCATENATE("R2C",'Mapa Instituc Corrupc 2023'!$O$17),"")</f>
        <v/>
      </c>
      <c r="AD7" s="52" t="str">
        <f>IF(AND('Mapa Instituc Corrupc 2023'!$Y$18="Muy Alta",'Mapa Instituc Corrupc 2023'!$AA$18="Mayor"),CONCATENATE("R2C",'Mapa Instituc Corrupc 2023'!$O$18),"")</f>
        <v/>
      </c>
      <c r="AE7" s="52" t="str">
        <f>IF(AND('Mapa Instituc Corrupc 2023'!$Y$19="Muy Alta",'Mapa Instituc Corrupc 2023'!$AA$19="Mayor"),CONCATENATE("R2C",'Mapa Instituc Corrupc 2023'!$O$19),"")</f>
        <v/>
      </c>
      <c r="AF7" s="52" t="str">
        <f>IF(AND('Mapa Instituc Corrupc 2023'!$Y$20="Muy Alta",'Mapa Instituc Corrupc 2023'!$AA$20="Mayor"),CONCATENATE("R2C",'Mapa Instituc Corrupc 2023'!$O$20),"")</f>
        <v/>
      </c>
      <c r="AG7" s="53" t="str">
        <f>IF(AND('Mapa Instituc Corrupc 2023'!$Y$21="Muy Alta",'Mapa Instituc Corrupc 2023'!$AA$21="Mayor"),CONCATENATE("R2C",'Mapa Instituc Corrupc 2023'!$O$21),"")</f>
        <v/>
      </c>
      <c r="AH7" s="54" t="str">
        <f ca="1">IF(AND('Mapa Instituc Corrupc 2023'!$Y$16="Muy Alta",'Mapa Instituc Corrupc 2023'!$AA$16="Catastrófico"),CONCATENATE("R2C",'Mapa Instituc Corrupc 2023'!$O$16),"")</f>
        <v/>
      </c>
      <c r="AI7" s="55" t="str">
        <f>IF(AND('Mapa Instituc Corrupc 2023'!$Y$17="Muy Alta",'Mapa Instituc Corrupc 2023'!$AA$17="Catastrófico"),CONCATENATE("R2C",'Mapa Instituc Corrupc 2023'!$O$17),"")</f>
        <v/>
      </c>
      <c r="AJ7" s="55" t="str">
        <f>IF(AND('Mapa Instituc Corrupc 2023'!$Y$18="Muy Alta",'Mapa Instituc Corrupc 2023'!$AA$18="Catastrófico"),CONCATENATE("R2C",'Mapa Instituc Corrupc 2023'!$O$18),"")</f>
        <v/>
      </c>
      <c r="AK7" s="55" t="str">
        <f>IF(AND('Mapa Instituc Corrupc 2023'!$Y$19="Muy Alta",'Mapa Instituc Corrupc 2023'!$AA$19="Catastrófico"),CONCATENATE("R2C",'Mapa Instituc Corrupc 2023'!$O$19),"")</f>
        <v/>
      </c>
      <c r="AL7" s="55" t="str">
        <f>IF(AND('Mapa Instituc Corrupc 2023'!$Y$20="Muy Alta",'Mapa Instituc Corrupc 2023'!$AA$20="Catastrófico"),CONCATENATE("R2C",'Mapa Instituc Corrupc 2023'!$O$20),"")</f>
        <v/>
      </c>
      <c r="AM7" s="56" t="str">
        <f>IF(AND('Mapa Instituc Corrupc 2023'!$Y$21="Muy Alta",'Mapa Instituc Corrupc 2023'!$AA$21="Catastrófico"),CONCATENATE("R2C",'Mapa Instituc Corrupc 2023'!$O$21),"")</f>
        <v/>
      </c>
      <c r="AN7" s="83"/>
      <c r="AO7" s="488"/>
      <c r="AP7" s="489"/>
      <c r="AQ7" s="489"/>
      <c r="AR7" s="489"/>
      <c r="AS7" s="489"/>
      <c r="AT7" s="490"/>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380"/>
      <c r="C8" s="380"/>
      <c r="D8" s="381"/>
      <c r="E8" s="481"/>
      <c r="F8" s="482"/>
      <c r="G8" s="482"/>
      <c r="H8" s="482"/>
      <c r="I8" s="497"/>
      <c r="J8" s="51" t="str">
        <f>IF(AND('Mapa Instituc Corrupc 2023'!$Y$22="Muy Alta",'Mapa Instituc Corrupc 2023'!$AA$22="Leve"),CONCATENATE("R3C",'Mapa Instituc Corrupc 2023'!$O$22),"")</f>
        <v/>
      </c>
      <c r="K8" s="52" t="str">
        <f>IF(AND('Mapa Instituc Corrupc 2023'!$Y$23="Muy Alta",'Mapa Instituc Corrupc 2023'!$AA$23="Leve"),CONCATENATE("R3C",'Mapa Instituc Corrupc 2023'!$O$23),"")</f>
        <v/>
      </c>
      <c r="L8" s="52" t="str">
        <f>IF(AND('Mapa Instituc Corrupc 2023'!$Y$24="Muy Alta",'Mapa Instituc Corrupc 2023'!$AA$24="Leve"),CONCATENATE("R3C",'Mapa Instituc Corrupc 2023'!$O$24),"")</f>
        <v/>
      </c>
      <c r="M8" s="52" t="str">
        <f>IF(AND('Mapa Instituc Corrupc 2023'!$Y$25="Muy Alta",'Mapa Instituc Corrupc 2023'!$AA$25="Leve"),CONCATENATE("R3C",'Mapa Instituc Corrupc 2023'!$O$25),"")</f>
        <v/>
      </c>
      <c r="N8" s="52" t="str">
        <f>IF(AND('Mapa Instituc Corrupc 2023'!$Y$26="Muy Alta",'Mapa Instituc Corrupc 2023'!$AA$26="Leve"),CONCATENATE("R3C",'Mapa Instituc Corrupc 2023'!$O$26),"")</f>
        <v/>
      </c>
      <c r="O8" s="53" t="str">
        <f>IF(AND('Mapa Instituc Corrupc 2023'!$Y$27="Muy Alta",'Mapa Instituc Corrupc 2023'!$AA$27="Leve"),CONCATENATE("R3C",'Mapa Instituc Corrupc 2023'!$O$27),"")</f>
        <v/>
      </c>
      <c r="P8" s="51" t="str">
        <f>IF(AND('Mapa Instituc Corrupc 2023'!$Y$22="Muy Alta",'Mapa Instituc Corrupc 2023'!$AA$22="Menor"),CONCATENATE("R3C",'Mapa Instituc Corrupc 2023'!$O$22),"")</f>
        <v/>
      </c>
      <c r="Q8" s="52" t="str">
        <f>IF(AND('Mapa Instituc Corrupc 2023'!$Y$23="Muy Alta",'Mapa Instituc Corrupc 2023'!$AA$23="Menor"),CONCATENATE("R3C",'Mapa Instituc Corrupc 2023'!$O$23),"")</f>
        <v/>
      </c>
      <c r="R8" s="52" t="str">
        <f>IF(AND('Mapa Instituc Corrupc 2023'!$Y$24="Muy Alta",'Mapa Instituc Corrupc 2023'!$AA$24="Menor"),CONCATENATE("R3C",'Mapa Instituc Corrupc 2023'!$O$24),"")</f>
        <v/>
      </c>
      <c r="S8" s="52" t="str">
        <f>IF(AND('Mapa Instituc Corrupc 2023'!$Y$25="Muy Alta",'Mapa Instituc Corrupc 2023'!$AA$25="Menor"),CONCATENATE("R3C",'Mapa Instituc Corrupc 2023'!$O$25),"")</f>
        <v/>
      </c>
      <c r="T8" s="52" t="str">
        <f>IF(AND('Mapa Instituc Corrupc 2023'!$Y$26="Muy Alta",'Mapa Instituc Corrupc 2023'!$AA$26="Menor"),CONCATENATE("R3C",'Mapa Instituc Corrupc 2023'!$O$26),"")</f>
        <v/>
      </c>
      <c r="U8" s="53" t="str">
        <f>IF(AND('Mapa Instituc Corrupc 2023'!$Y$27="Muy Alta",'Mapa Instituc Corrupc 2023'!$AA$27="Menor"),CONCATENATE("R3C",'Mapa Instituc Corrupc 2023'!$O$27),"")</f>
        <v/>
      </c>
      <c r="V8" s="51" t="str">
        <f>IF(AND('Mapa Instituc Corrupc 2023'!$Y$22="Muy Alta",'Mapa Instituc Corrupc 2023'!$AA$22="Moderado"),CONCATENATE("R3C",'Mapa Instituc Corrupc 2023'!$O$22),"")</f>
        <v/>
      </c>
      <c r="W8" s="52" t="str">
        <f>IF(AND('Mapa Instituc Corrupc 2023'!$Y$23="Muy Alta",'Mapa Instituc Corrupc 2023'!$AA$23="Moderado"),CONCATENATE("R3C",'Mapa Instituc Corrupc 2023'!$O$23),"")</f>
        <v/>
      </c>
      <c r="X8" s="52" t="str">
        <f>IF(AND('Mapa Instituc Corrupc 2023'!$Y$24="Muy Alta",'Mapa Instituc Corrupc 2023'!$AA$24="Moderado"),CONCATENATE("R3C",'Mapa Instituc Corrupc 2023'!$O$24),"")</f>
        <v/>
      </c>
      <c r="Y8" s="52" t="str">
        <f>IF(AND('Mapa Instituc Corrupc 2023'!$Y$25="Muy Alta",'Mapa Instituc Corrupc 2023'!$AA$25="Moderado"),CONCATENATE("R3C",'Mapa Instituc Corrupc 2023'!$O$25),"")</f>
        <v/>
      </c>
      <c r="Z8" s="52" t="str">
        <f>IF(AND('Mapa Instituc Corrupc 2023'!$Y$26="Muy Alta",'Mapa Instituc Corrupc 2023'!$AA$26="Moderado"),CONCATENATE("R3C",'Mapa Instituc Corrupc 2023'!$O$26),"")</f>
        <v/>
      </c>
      <c r="AA8" s="53" t="str">
        <f>IF(AND('Mapa Instituc Corrupc 2023'!$Y$27="Muy Alta",'Mapa Instituc Corrupc 2023'!$AA$27="Moderado"),CONCATENATE("R3C",'Mapa Instituc Corrupc 2023'!$O$27),"")</f>
        <v/>
      </c>
      <c r="AB8" s="51" t="str">
        <f>IF(AND('Mapa Instituc Corrupc 2023'!$Y$22="Muy Alta",'Mapa Instituc Corrupc 2023'!$AA$22="Mayor"),CONCATENATE("R3C",'Mapa Instituc Corrupc 2023'!$O$22),"")</f>
        <v/>
      </c>
      <c r="AC8" s="52" t="str">
        <f>IF(AND('Mapa Instituc Corrupc 2023'!$Y$23="Muy Alta",'Mapa Instituc Corrupc 2023'!$AA$23="Mayor"),CONCATENATE("R3C",'Mapa Instituc Corrupc 2023'!$O$23),"")</f>
        <v/>
      </c>
      <c r="AD8" s="52" t="str">
        <f>IF(AND('Mapa Instituc Corrupc 2023'!$Y$24="Muy Alta",'Mapa Instituc Corrupc 2023'!$AA$24="Mayor"),CONCATENATE("R3C",'Mapa Instituc Corrupc 2023'!$O$24),"")</f>
        <v/>
      </c>
      <c r="AE8" s="52" t="str">
        <f>IF(AND('Mapa Instituc Corrupc 2023'!$Y$25="Muy Alta",'Mapa Instituc Corrupc 2023'!$AA$25="Mayor"),CONCATENATE("R3C",'Mapa Instituc Corrupc 2023'!$O$25),"")</f>
        <v/>
      </c>
      <c r="AF8" s="52" t="str">
        <f>IF(AND('Mapa Instituc Corrupc 2023'!$Y$26="Muy Alta",'Mapa Instituc Corrupc 2023'!$AA$26="Mayor"),CONCATENATE("R3C",'Mapa Instituc Corrupc 2023'!$O$26),"")</f>
        <v/>
      </c>
      <c r="AG8" s="53" t="str">
        <f>IF(AND('Mapa Instituc Corrupc 2023'!$Y$27="Muy Alta",'Mapa Instituc Corrupc 2023'!$AA$27="Mayor"),CONCATENATE("R3C",'Mapa Instituc Corrupc 2023'!$O$27),"")</f>
        <v/>
      </c>
      <c r="AH8" s="54" t="str">
        <f>IF(AND('Mapa Instituc Corrupc 2023'!$Y$22="Muy Alta",'Mapa Instituc Corrupc 2023'!$AA$22="Catastrófico"),CONCATENATE("R3C",'Mapa Instituc Corrupc 2023'!$O$22),"")</f>
        <v/>
      </c>
      <c r="AI8" s="55" t="str">
        <f>IF(AND('Mapa Instituc Corrupc 2023'!$Y$23="Muy Alta",'Mapa Instituc Corrupc 2023'!$AA$23="Catastrófico"),CONCATENATE("R3C",'Mapa Instituc Corrupc 2023'!$O$23),"")</f>
        <v/>
      </c>
      <c r="AJ8" s="55" t="str">
        <f>IF(AND('Mapa Instituc Corrupc 2023'!$Y$24="Muy Alta",'Mapa Instituc Corrupc 2023'!$AA$24="Catastrófico"),CONCATENATE("R3C",'Mapa Instituc Corrupc 2023'!$O$24),"")</f>
        <v/>
      </c>
      <c r="AK8" s="55" t="str">
        <f>IF(AND('Mapa Instituc Corrupc 2023'!$Y$25="Muy Alta",'Mapa Instituc Corrupc 2023'!$AA$25="Catastrófico"),CONCATENATE("R3C",'Mapa Instituc Corrupc 2023'!$O$25),"")</f>
        <v/>
      </c>
      <c r="AL8" s="55" t="str">
        <f>IF(AND('Mapa Instituc Corrupc 2023'!$Y$26="Muy Alta",'Mapa Instituc Corrupc 2023'!$AA$26="Catastrófico"),CONCATENATE("R3C",'Mapa Instituc Corrupc 2023'!$O$26),"")</f>
        <v/>
      </c>
      <c r="AM8" s="56" t="str">
        <f>IF(AND('Mapa Instituc Corrupc 2023'!$Y$27="Muy Alta",'Mapa Instituc Corrupc 2023'!$AA$27="Catastrófico"),CONCATENATE("R3C",'Mapa Instituc Corrupc 2023'!$O$27),"")</f>
        <v/>
      </c>
      <c r="AN8" s="83"/>
      <c r="AO8" s="488"/>
      <c r="AP8" s="489"/>
      <c r="AQ8" s="489"/>
      <c r="AR8" s="489"/>
      <c r="AS8" s="489"/>
      <c r="AT8" s="490"/>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380"/>
      <c r="C9" s="380"/>
      <c r="D9" s="381"/>
      <c r="E9" s="481"/>
      <c r="F9" s="482"/>
      <c r="G9" s="482"/>
      <c r="H9" s="482"/>
      <c r="I9" s="497"/>
      <c r="J9" s="51" t="str">
        <f>IF(AND('Mapa Instituc Corrupc 2023'!$Y$28="Muy Alta",'Mapa Instituc Corrupc 2023'!$AA$28="Leve"),CONCATENATE("R4C",'Mapa Instituc Corrupc 2023'!$O$28),"")</f>
        <v/>
      </c>
      <c r="K9" s="52" t="str">
        <f>IF(AND('Mapa Instituc Corrupc 2023'!$Y$29="Muy Alta",'Mapa Instituc Corrupc 2023'!$AA$29="Leve"),CONCATENATE("R4C",'Mapa Instituc Corrupc 2023'!$O$29),"")</f>
        <v/>
      </c>
      <c r="L9" s="57" t="str">
        <f>IF(AND('Mapa Instituc Corrupc 2023'!$Y$30="Muy Alta",'Mapa Instituc Corrupc 2023'!$AA$30="Leve"),CONCATENATE("R4C",'Mapa Instituc Corrupc 2023'!$O$30),"")</f>
        <v/>
      </c>
      <c r="M9" s="57" t="str">
        <f>IF(AND('Mapa Instituc Corrupc 2023'!$Y$31="Muy Alta",'Mapa Instituc Corrupc 2023'!$AA$31="Leve"),CONCATENATE("R4C",'Mapa Instituc Corrupc 2023'!$O$31),"")</f>
        <v/>
      </c>
      <c r="N9" s="57" t="str">
        <f>IF(AND('Mapa Instituc Corrupc 2023'!$Y$32="Muy Alta",'Mapa Instituc Corrupc 2023'!$AA$32="Leve"),CONCATENATE("R4C",'Mapa Instituc Corrupc 2023'!$O$32),"")</f>
        <v/>
      </c>
      <c r="O9" s="53" t="str">
        <f>IF(AND('Mapa Instituc Corrupc 2023'!$Y$33="Muy Alta",'Mapa Instituc Corrupc 2023'!$AA$33="Leve"),CONCATENATE("R4C",'Mapa Instituc Corrupc 2023'!$O$33),"")</f>
        <v/>
      </c>
      <c r="P9" s="51" t="str">
        <f>IF(AND('Mapa Instituc Corrupc 2023'!$Y$28="Muy Alta",'Mapa Instituc Corrupc 2023'!$AA$28="Menor"),CONCATENATE("R4C",'Mapa Instituc Corrupc 2023'!$O$28),"")</f>
        <v/>
      </c>
      <c r="Q9" s="52" t="str">
        <f>IF(AND('Mapa Instituc Corrupc 2023'!$Y$29="Muy Alta",'Mapa Instituc Corrupc 2023'!$AA$29="Menor"),CONCATENATE("R4C",'Mapa Instituc Corrupc 2023'!$O$29),"")</f>
        <v/>
      </c>
      <c r="R9" s="57" t="str">
        <f>IF(AND('Mapa Instituc Corrupc 2023'!$Y$30="Muy Alta",'Mapa Instituc Corrupc 2023'!$AA$30="Menor"),CONCATENATE("R4C",'Mapa Instituc Corrupc 2023'!$O$30),"")</f>
        <v/>
      </c>
      <c r="S9" s="57" t="str">
        <f>IF(AND('Mapa Instituc Corrupc 2023'!$Y$31="Muy Alta",'Mapa Instituc Corrupc 2023'!$AA$31="Menor"),CONCATENATE("R4C",'Mapa Instituc Corrupc 2023'!$O$31),"")</f>
        <v/>
      </c>
      <c r="T9" s="57" t="str">
        <f>IF(AND('Mapa Instituc Corrupc 2023'!$Y$32="Muy Alta",'Mapa Instituc Corrupc 2023'!$AA$32="Menor"),CONCATENATE("R4C",'Mapa Instituc Corrupc 2023'!$O$32),"")</f>
        <v/>
      </c>
      <c r="U9" s="53" t="str">
        <f>IF(AND('Mapa Instituc Corrupc 2023'!$Y$33="Muy Alta",'Mapa Instituc Corrupc 2023'!$AA$33="Menor"),CONCATENATE("R4C",'Mapa Instituc Corrupc 2023'!$O$33),"")</f>
        <v/>
      </c>
      <c r="V9" s="51" t="str">
        <f>IF(AND('Mapa Instituc Corrupc 2023'!$Y$28="Muy Alta",'Mapa Instituc Corrupc 2023'!$AA$28="Moderado"),CONCATENATE("R4C",'Mapa Instituc Corrupc 2023'!$O$28),"")</f>
        <v/>
      </c>
      <c r="W9" s="52" t="str">
        <f>IF(AND('Mapa Instituc Corrupc 2023'!$Y$29="Muy Alta",'Mapa Instituc Corrupc 2023'!$AA$29="Moderado"),CONCATENATE("R4C",'Mapa Instituc Corrupc 2023'!$O$29),"")</f>
        <v/>
      </c>
      <c r="X9" s="57" t="str">
        <f>IF(AND('Mapa Instituc Corrupc 2023'!$Y$30="Muy Alta",'Mapa Instituc Corrupc 2023'!$AA$30="Moderado"),CONCATENATE("R4C",'Mapa Instituc Corrupc 2023'!$O$30),"")</f>
        <v/>
      </c>
      <c r="Y9" s="57" t="str">
        <f>IF(AND('Mapa Instituc Corrupc 2023'!$Y$31="Muy Alta",'Mapa Instituc Corrupc 2023'!$AA$31="Moderado"),CONCATENATE("R4C",'Mapa Instituc Corrupc 2023'!$O$31),"")</f>
        <v/>
      </c>
      <c r="Z9" s="57" t="str">
        <f>IF(AND('Mapa Instituc Corrupc 2023'!$Y$32="Muy Alta",'Mapa Instituc Corrupc 2023'!$AA$32="Moderado"),CONCATENATE("R4C",'Mapa Instituc Corrupc 2023'!$O$32),"")</f>
        <v/>
      </c>
      <c r="AA9" s="53" t="str">
        <f>IF(AND('Mapa Instituc Corrupc 2023'!$Y$33="Muy Alta",'Mapa Instituc Corrupc 2023'!$AA$33="Moderado"),CONCATENATE("R4C",'Mapa Instituc Corrupc 2023'!$O$33),"")</f>
        <v/>
      </c>
      <c r="AB9" s="51" t="str">
        <f>IF(AND('Mapa Instituc Corrupc 2023'!$Y$28="Muy Alta",'Mapa Instituc Corrupc 2023'!$AA$28="Mayor"),CONCATENATE("R4C",'Mapa Instituc Corrupc 2023'!$O$28),"")</f>
        <v/>
      </c>
      <c r="AC9" s="52" t="str">
        <f>IF(AND('Mapa Instituc Corrupc 2023'!$Y$29="Muy Alta",'Mapa Instituc Corrupc 2023'!$AA$29="Mayor"),CONCATENATE("R4C",'Mapa Instituc Corrupc 2023'!$O$29),"")</f>
        <v/>
      </c>
      <c r="AD9" s="57" t="str">
        <f>IF(AND('Mapa Instituc Corrupc 2023'!$Y$30="Muy Alta",'Mapa Instituc Corrupc 2023'!$AA$30="Mayor"),CONCATENATE("R4C",'Mapa Instituc Corrupc 2023'!$O$30),"")</f>
        <v/>
      </c>
      <c r="AE9" s="57" t="str">
        <f>IF(AND('Mapa Instituc Corrupc 2023'!$Y$31="Muy Alta",'Mapa Instituc Corrupc 2023'!$AA$31="Mayor"),CONCATENATE("R4C",'Mapa Instituc Corrupc 2023'!$O$31),"")</f>
        <v/>
      </c>
      <c r="AF9" s="57" t="str">
        <f>IF(AND('Mapa Instituc Corrupc 2023'!$Y$32="Muy Alta",'Mapa Instituc Corrupc 2023'!$AA$32="Mayor"),CONCATENATE("R4C",'Mapa Instituc Corrupc 2023'!$O$32),"")</f>
        <v/>
      </c>
      <c r="AG9" s="53" t="str">
        <f>IF(AND('Mapa Instituc Corrupc 2023'!$Y$33="Muy Alta",'Mapa Instituc Corrupc 2023'!$AA$33="Mayor"),CONCATENATE("R4C",'Mapa Instituc Corrupc 2023'!$O$33),"")</f>
        <v/>
      </c>
      <c r="AH9" s="54" t="str">
        <f>IF(AND('Mapa Instituc Corrupc 2023'!$Y$28="Muy Alta",'Mapa Instituc Corrupc 2023'!$AA$28="Catastrófico"),CONCATENATE("R4C",'Mapa Instituc Corrupc 2023'!$O$28),"")</f>
        <v/>
      </c>
      <c r="AI9" s="55" t="str">
        <f>IF(AND('Mapa Instituc Corrupc 2023'!$Y$29="Muy Alta",'Mapa Instituc Corrupc 2023'!$AA$29="Catastrófico"),CONCATENATE("R4C",'Mapa Instituc Corrupc 2023'!$O$29),"")</f>
        <v/>
      </c>
      <c r="AJ9" s="55" t="str">
        <f>IF(AND('Mapa Instituc Corrupc 2023'!$Y$30="Muy Alta",'Mapa Instituc Corrupc 2023'!$AA$30="Catastrófico"),CONCATENATE("R4C",'Mapa Instituc Corrupc 2023'!$O$30),"")</f>
        <v/>
      </c>
      <c r="AK9" s="55" t="str">
        <f>IF(AND('Mapa Instituc Corrupc 2023'!$Y$31="Muy Alta",'Mapa Instituc Corrupc 2023'!$AA$31="Catastrófico"),CONCATENATE("R4C",'Mapa Instituc Corrupc 2023'!$O$31),"")</f>
        <v/>
      </c>
      <c r="AL9" s="55" t="str">
        <f>IF(AND('Mapa Instituc Corrupc 2023'!$Y$32="Muy Alta",'Mapa Instituc Corrupc 2023'!$AA$32="Catastrófico"),CONCATENATE("R4C",'Mapa Instituc Corrupc 2023'!$O$32),"")</f>
        <v/>
      </c>
      <c r="AM9" s="56" t="str">
        <f>IF(AND('Mapa Instituc Corrupc 2023'!$Y$33="Muy Alta",'Mapa Instituc Corrupc 2023'!$AA$33="Catastrófico"),CONCATENATE("R4C",'Mapa Instituc Corrupc 2023'!$O$33),"")</f>
        <v/>
      </c>
      <c r="AN9" s="83"/>
      <c r="AO9" s="488"/>
      <c r="AP9" s="489"/>
      <c r="AQ9" s="489"/>
      <c r="AR9" s="489"/>
      <c r="AS9" s="489"/>
      <c r="AT9" s="490"/>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380"/>
      <c r="C10" s="380"/>
      <c r="D10" s="381"/>
      <c r="E10" s="481"/>
      <c r="F10" s="482"/>
      <c r="G10" s="482"/>
      <c r="H10" s="482"/>
      <c r="I10" s="497"/>
      <c r="J10" s="51" t="str">
        <f>IF(AND('Mapa Instituc Corrupc 2023'!$Y$34="Muy Alta",'Mapa Instituc Corrupc 2023'!$AA$34="Leve"),CONCATENATE("R5C",'Mapa Instituc Corrupc 2023'!$O$34),"")</f>
        <v/>
      </c>
      <c r="K10" s="52" t="str">
        <f>IF(AND('Mapa Instituc Corrupc 2023'!$Y$35="Muy Alta",'Mapa Instituc Corrupc 2023'!$AA$35="Leve"),CONCATENATE("R5C",'Mapa Instituc Corrupc 2023'!$O$35),"")</f>
        <v/>
      </c>
      <c r="L10" s="57" t="str">
        <f>IF(AND('Mapa Instituc Corrupc 2023'!$Y$36="Muy Alta",'Mapa Instituc Corrupc 2023'!$AA$36="Leve"),CONCATENATE("R5C",'Mapa Instituc Corrupc 2023'!$O$36),"")</f>
        <v/>
      </c>
      <c r="M10" s="57" t="str">
        <f>IF(AND('Mapa Instituc Corrupc 2023'!$Y$37="Muy Alta",'Mapa Instituc Corrupc 2023'!$AA$37="Leve"),CONCATENATE("R5C",'Mapa Instituc Corrupc 2023'!$O$37),"")</f>
        <v/>
      </c>
      <c r="N10" s="57" t="str">
        <f>IF(AND('Mapa Instituc Corrupc 2023'!$Y$38="Muy Alta",'Mapa Instituc Corrupc 2023'!$AA$38="Leve"),CONCATENATE("R5C",'Mapa Instituc Corrupc 2023'!$O$38),"")</f>
        <v/>
      </c>
      <c r="O10" s="53" t="str">
        <f>IF(AND('Mapa Instituc Corrupc 2023'!$Y$39="Muy Alta",'Mapa Instituc Corrupc 2023'!$AA$39="Leve"),CONCATENATE("R5C",'Mapa Instituc Corrupc 2023'!$O$39),"")</f>
        <v/>
      </c>
      <c r="P10" s="51" t="str">
        <f>IF(AND('Mapa Instituc Corrupc 2023'!$Y$34="Muy Alta",'Mapa Instituc Corrupc 2023'!$AA$34="Menor"),CONCATENATE("R5C",'Mapa Instituc Corrupc 2023'!$O$34),"")</f>
        <v/>
      </c>
      <c r="Q10" s="52" t="str">
        <f>IF(AND('Mapa Instituc Corrupc 2023'!$Y$35="Muy Alta",'Mapa Instituc Corrupc 2023'!$AA$35="Menor"),CONCATENATE("R5C",'Mapa Instituc Corrupc 2023'!$O$35),"")</f>
        <v/>
      </c>
      <c r="R10" s="57" t="str">
        <f>IF(AND('Mapa Instituc Corrupc 2023'!$Y$36="Muy Alta",'Mapa Instituc Corrupc 2023'!$AA$36="Menor"),CONCATENATE("R5C",'Mapa Instituc Corrupc 2023'!$O$36),"")</f>
        <v/>
      </c>
      <c r="S10" s="57" t="str">
        <f>IF(AND('Mapa Instituc Corrupc 2023'!$Y$37="Muy Alta",'Mapa Instituc Corrupc 2023'!$AA$37="Menor"),CONCATENATE("R5C",'Mapa Instituc Corrupc 2023'!$O$37),"")</f>
        <v/>
      </c>
      <c r="T10" s="57" t="str">
        <f>IF(AND('Mapa Instituc Corrupc 2023'!$Y$38="Muy Alta",'Mapa Instituc Corrupc 2023'!$AA$38="Menor"),CONCATENATE("R5C",'Mapa Instituc Corrupc 2023'!$O$38),"")</f>
        <v/>
      </c>
      <c r="U10" s="53" t="str">
        <f>IF(AND('Mapa Instituc Corrupc 2023'!$Y$39="Muy Alta",'Mapa Instituc Corrupc 2023'!$AA$39="Menor"),CONCATENATE("R5C",'Mapa Instituc Corrupc 2023'!$O$39),"")</f>
        <v/>
      </c>
      <c r="V10" s="51" t="str">
        <f>IF(AND('Mapa Instituc Corrupc 2023'!$Y$34="Muy Alta",'Mapa Instituc Corrupc 2023'!$AA$34="Moderado"),CONCATENATE("R5C",'Mapa Instituc Corrupc 2023'!$O$34),"")</f>
        <v/>
      </c>
      <c r="W10" s="52" t="str">
        <f>IF(AND('Mapa Instituc Corrupc 2023'!$Y$35="Muy Alta",'Mapa Instituc Corrupc 2023'!$AA$35="Moderado"),CONCATENATE("R5C",'Mapa Instituc Corrupc 2023'!$O$35),"")</f>
        <v/>
      </c>
      <c r="X10" s="57" t="str">
        <f>IF(AND('Mapa Instituc Corrupc 2023'!$Y$36="Muy Alta",'Mapa Instituc Corrupc 2023'!$AA$36="Moderado"),CONCATENATE("R5C",'Mapa Instituc Corrupc 2023'!$O$36),"")</f>
        <v/>
      </c>
      <c r="Y10" s="57" t="str">
        <f>IF(AND('Mapa Instituc Corrupc 2023'!$Y$37="Muy Alta",'Mapa Instituc Corrupc 2023'!$AA$37="Moderado"),CONCATENATE("R5C",'Mapa Instituc Corrupc 2023'!$O$37),"")</f>
        <v/>
      </c>
      <c r="Z10" s="57" t="str">
        <f>IF(AND('Mapa Instituc Corrupc 2023'!$Y$38="Muy Alta",'Mapa Instituc Corrupc 2023'!$AA$38="Moderado"),CONCATENATE("R5C",'Mapa Instituc Corrupc 2023'!$O$38),"")</f>
        <v/>
      </c>
      <c r="AA10" s="53" t="str">
        <f>IF(AND('Mapa Instituc Corrupc 2023'!$Y$39="Muy Alta",'Mapa Instituc Corrupc 2023'!$AA$39="Moderado"),CONCATENATE("R5C",'Mapa Instituc Corrupc 2023'!$O$39),"")</f>
        <v/>
      </c>
      <c r="AB10" s="51" t="str">
        <f>IF(AND('Mapa Instituc Corrupc 2023'!$Y$34="Muy Alta",'Mapa Instituc Corrupc 2023'!$AA$34="Mayor"),CONCATENATE("R5C",'Mapa Instituc Corrupc 2023'!$O$34),"")</f>
        <v/>
      </c>
      <c r="AC10" s="52" t="str">
        <f>IF(AND('Mapa Instituc Corrupc 2023'!$Y$35="Muy Alta",'Mapa Instituc Corrupc 2023'!$AA$35="Mayor"),CONCATENATE("R5C",'Mapa Instituc Corrupc 2023'!$O$35),"")</f>
        <v/>
      </c>
      <c r="AD10" s="57" t="str">
        <f>IF(AND('Mapa Instituc Corrupc 2023'!$Y$36="Muy Alta",'Mapa Instituc Corrupc 2023'!$AA$36="Mayor"),CONCATENATE("R5C",'Mapa Instituc Corrupc 2023'!$O$36),"")</f>
        <v/>
      </c>
      <c r="AE10" s="57" t="str">
        <f>IF(AND('Mapa Instituc Corrupc 2023'!$Y$37="Muy Alta",'Mapa Instituc Corrupc 2023'!$AA$37="Mayor"),CONCATENATE("R5C",'Mapa Instituc Corrupc 2023'!$O$37),"")</f>
        <v/>
      </c>
      <c r="AF10" s="57" t="str">
        <f>IF(AND('Mapa Instituc Corrupc 2023'!$Y$38="Muy Alta",'Mapa Instituc Corrupc 2023'!$AA$38="Mayor"),CONCATENATE("R5C",'Mapa Instituc Corrupc 2023'!$O$38),"")</f>
        <v/>
      </c>
      <c r="AG10" s="53" t="str">
        <f>IF(AND('Mapa Instituc Corrupc 2023'!$Y$39="Muy Alta",'Mapa Instituc Corrupc 2023'!$AA$39="Mayor"),CONCATENATE("R5C",'Mapa Instituc Corrupc 2023'!$O$39),"")</f>
        <v/>
      </c>
      <c r="AH10" s="54" t="str">
        <f>IF(AND('Mapa Instituc Corrupc 2023'!$Y$34="Muy Alta",'Mapa Instituc Corrupc 2023'!$AA$34="Catastrófico"),CONCATENATE("R5C",'Mapa Instituc Corrupc 2023'!$O$34),"")</f>
        <v/>
      </c>
      <c r="AI10" s="55" t="str">
        <f>IF(AND('Mapa Instituc Corrupc 2023'!$Y$35="Muy Alta",'Mapa Instituc Corrupc 2023'!$AA$35="Catastrófico"),CONCATENATE("R5C",'Mapa Instituc Corrupc 2023'!$O$35),"")</f>
        <v/>
      </c>
      <c r="AJ10" s="55" t="str">
        <f>IF(AND('Mapa Instituc Corrupc 2023'!$Y$36="Muy Alta",'Mapa Instituc Corrupc 2023'!$AA$36="Catastrófico"),CONCATENATE("R5C",'Mapa Instituc Corrupc 2023'!$O$36),"")</f>
        <v/>
      </c>
      <c r="AK10" s="55" t="str">
        <f>IF(AND('Mapa Instituc Corrupc 2023'!$Y$37="Muy Alta",'Mapa Instituc Corrupc 2023'!$AA$37="Catastrófico"),CONCATENATE("R5C",'Mapa Instituc Corrupc 2023'!$O$37),"")</f>
        <v/>
      </c>
      <c r="AL10" s="55" t="str">
        <f>IF(AND('Mapa Instituc Corrupc 2023'!$Y$38="Muy Alta",'Mapa Instituc Corrupc 2023'!$AA$38="Catastrófico"),CONCATENATE("R5C",'Mapa Instituc Corrupc 2023'!$O$38),"")</f>
        <v/>
      </c>
      <c r="AM10" s="56" t="str">
        <f>IF(AND('Mapa Instituc Corrupc 2023'!$Y$39="Muy Alta",'Mapa Instituc Corrupc 2023'!$AA$39="Catastrófico"),CONCATENATE("R5C",'Mapa Instituc Corrupc 2023'!$O$39),"")</f>
        <v/>
      </c>
      <c r="AN10" s="83"/>
      <c r="AO10" s="488"/>
      <c r="AP10" s="489"/>
      <c r="AQ10" s="489"/>
      <c r="AR10" s="489"/>
      <c r="AS10" s="489"/>
      <c r="AT10" s="490"/>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380"/>
      <c r="C11" s="380"/>
      <c r="D11" s="381"/>
      <c r="E11" s="481"/>
      <c r="F11" s="482"/>
      <c r="G11" s="482"/>
      <c r="H11" s="482"/>
      <c r="I11" s="497"/>
      <c r="J11" s="51" t="str">
        <f>IF(AND('Mapa Instituc Corrupc 2023'!$Y$40="Muy Alta",'Mapa Instituc Corrupc 2023'!$AA$40="Leve"),CONCATENATE("R6C",'Mapa Instituc Corrupc 2023'!$O$40),"")</f>
        <v/>
      </c>
      <c r="K11" s="52" t="str">
        <f>IF(AND('Mapa Instituc Corrupc 2023'!$Y$41="Muy Alta",'Mapa Instituc Corrupc 2023'!$AA$41="Leve"),CONCATENATE("R6C",'Mapa Instituc Corrupc 2023'!$O$41),"")</f>
        <v/>
      </c>
      <c r="L11" s="57" t="str">
        <f>IF(AND('Mapa Instituc Corrupc 2023'!$Y$42="Muy Alta",'Mapa Instituc Corrupc 2023'!$AA$42="Leve"),CONCATENATE("R6C",'Mapa Instituc Corrupc 2023'!$O$42),"")</f>
        <v/>
      </c>
      <c r="M11" s="57" t="str">
        <f>IF(AND('Mapa Instituc Corrupc 2023'!$Y$43="Muy Alta",'Mapa Instituc Corrupc 2023'!$AA$43="Leve"),CONCATENATE("R6C",'Mapa Instituc Corrupc 2023'!$O$43),"")</f>
        <v/>
      </c>
      <c r="N11" s="57" t="str">
        <f>IF(AND('Mapa Instituc Corrupc 2023'!$Y$44="Muy Alta",'Mapa Instituc Corrupc 2023'!$AA$44="Leve"),CONCATENATE("R6C",'Mapa Instituc Corrupc 2023'!$O$44),"")</f>
        <v/>
      </c>
      <c r="O11" s="53" t="str">
        <f>IF(AND('Mapa Instituc Corrupc 2023'!$Y$45="Muy Alta",'Mapa Instituc Corrupc 2023'!$AA$45="Leve"),CONCATENATE("R6C",'Mapa Instituc Corrupc 2023'!$O$45),"")</f>
        <v/>
      </c>
      <c r="P11" s="51" t="str">
        <f>IF(AND('Mapa Instituc Corrupc 2023'!$Y$40="Muy Alta",'Mapa Instituc Corrupc 2023'!$AA$40="Menor"),CONCATENATE("R6C",'Mapa Instituc Corrupc 2023'!$O$40),"")</f>
        <v/>
      </c>
      <c r="Q11" s="52" t="str">
        <f>IF(AND('Mapa Instituc Corrupc 2023'!$Y$41="Muy Alta",'Mapa Instituc Corrupc 2023'!$AA$41="Menor"),CONCATENATE("R6C",'Mapa Instituc Corrupc 2023'!$O$41),"")</f>
        <v/>
      </c>
      <c r="R11" s="57" t="str">
        <f>IF(AND('Mapa Instituc Corrupc 2023'!$Y$42="Muy Alta",'Mapa Instituc Corrupc 2023'!$AA$42="Menor"),CONCATENATE("R6C",'Mapa Instituc Corrupc 2023'!$O$42),"")</f>
        <v/>
      </c>
      <c r="S11" s="57" t="str">
        <f>IF(AND('Mapa Instituc Corrupc 2023'!$Y$43="Muy Alta",'Mapa Instituc Corrupc 2023'!$AA$43="Menor"),CONCATENATE("R6C",'Mapa Instituc Corrupc 2023'!$O$43),"")</f>
        <v/>
      </c>
      <c r="T11" s="57" t="str">
        <f>IF(AND('Mapa Instituc Corrupc 2023'!$Y$44="Muy Alta",'Mapa Instituc Corrupc 2023'!$AA$44="Menor"),CONCATENATE("R6C",'Mapa Instituc Corrupc 2023'!$O$44),"")</f>
        <v/>
      </c>
      <c r="U11" s="53" t="str">
        <f>IF(AND('Mapa Instituc Corrupc 2023'!$Y$45="Muy Alta",'Mapa Instituc Corrupc 2023'!$AA$45="Menor"),CONCATENATE("R6C",'Mapa Instituc Corrupc 2023'!$O$45),"")</f>
        <v/>
      </c>
      <c r="V11" s="51" t="str">
        <f>IF(AND('Mapa Instituc Corrupc 2023'!$Y$40="Muy Alta",'Mapa Instituc Corrupc 2023'!$AA$40="Moderado"),CONCATENATE("R6C",'Mapa Instituc Corrupc 2023'!$O$40),"")</f>
        <v/>
      </c>
      <c r="W11" s="52" t="str">
        <f>IF(AND('Mapa Instituc Corrupc 2023'!$Y$41="Muy Alta",'Mapa Instituc Corrupc 2023'!$AA$41="Moderado"),CONCATENATE("R6C",'Mapa Instituc Corrupc 2023'!$O$41),"")</f>
        <v/>
      </c>
      <c r="X11" s="57" t="str">
        <f>IF(AND('Mapa Instituc Corrupc 2023'!$Y$42="Muy Alta",'Mapa Instituc Corrupc 2023'!$AA$42="Moderado"),CONCATENATE("R6C",'Mapa Instituc Corrupc 2023'!$O$42),"")</f>
        <v/>
      </c>
      <c r="Y11" s="57" t="str">
        <f>IF(AND('Mapa Instituc Corrupc 2023'!$Y$43="Muy Alta",'Mapa Instituc Corrupc 2023'!$AA$43="Moderado"),CONCATENATE("R6C",'Mapa Instituc Corrupc 2023'!$O$43),"")</f>
        <v/>
      </c>
      <c r="Z11" s="57" t="str">
        <f>IF(AND('Mapa Instituc Corrupc 2023'!$Y$44="Muy Alta",'Mapa Instituc Corrupc 2023'!$AA$44="Moderado"),CONCATENATE("R6C",'Mapa Instituc Corrupc 2023'!$O$44),"")</f>
        <v/>
      </c>
      <c r="AA11" s="53" t="str">
        <f>IF(AND('Mapa Instituc Corrupc 2023'!$Y$45="Muy Alta",'Mapa Instituc Corrupc 2023'!$AA$45="Moderado"),CONCATENATE("R6C",'Mapa Instituc Corrupc 2023'!$O$45),"")</f>
        <v/>
      </c>
      <c r="AB11" s="51" t="str">
        <f>IF(AND('Mapa Instituc Corrupc 2023'!$Y$40="Muy Alta",'Mapa Instituc Corrupc 2023'!$AA$40="Mayor"),CONCATENATE("R6C",'Mapa Instituc Corrupc 2023'!$O$40),"")</f>
        <v/>
      </c>
      <c r="AC11" s="52" t="str">
        <f>IF(AND('Mapa Instituc Corrupc 2023'!$Y$41="Muy Alta",'Mapa Instituc Corrupc 2023'!$AA$41="Mayor"),CONCATENATE("R6C",'Mapa Instituc Corrupc 2023'!$O$41),"")</f>
        <v/>
      </c>
      <c r="AD11" s="57" t="str">
        <f>IF(AND('Mapa Instituc Corrupc 2023'!$Y$42="Muy Alta",'Mapa Instituc Corrupc 2023'!$AA$42="Mayor"),CONCATENATE("R6C",'Mapa Instituc Corrupc 2023'!$O$42),"")</f>
        <v/>
      </c>
      <c r="AE11" s="57" t="str">
        <f>IF(AND('Mapa Instituc Corrupc 2023'!$Y$43="Muy Alta",'Mapa Instituc Corrupc 2023'!$AA$43="Mayor"),CONCATENATE("R6C",'Mapa Instituc Corrupc 2023'!$O$43),"")</f>
        <v/>
      </c>
      <c r="AF11" s="57" t="str">
        <f>IF(AND('Mapa Instituc Corrupc 2023'!$Y$44="Muy Alta",'Mapa Instituc Corrupc 2023'!$AA$44="Mayor"),CONCATENATE("R6C",'Mapa Instituc Corrupc 2023'!$O$44),"")</f>
        <v/>
      </c>
      <c r="AG11" s="53" t="str">
        <f>IF(AND('Mapa Instituc Corrupc 2023'!$Y$45="Muy Alta",'Mapa Instituc Corrupc 2023'!$AA$45="Mayor"),CONCATENATE("R6C",'Mapa Instituc Corrupc 2023'!$O$45),"")</f>
        <v/>
      </c>
      <c r="AH11" s="54" t="str">
        <f>IF(AND('Mapa Instituc Corrupc 2023'!$Y$40="Muy Alta",'Mapa Instituc Corrupc 2023'!$AA$40="Catastrófico"),CONCATENATE("R6C",'Mapa Instituc Corrupc 2023'!$O$40),"")</f>
        <v/>
      </c>
      <c r="AI11" s="55" t="str">
        <f>IF(AND('Mapa Instituc Corrupc 2023'!$Y$41="Muy Alta",'Mapa Instituc Corrupc 2023'!$AA$41="Catastrófico"),CONCATENATE("R6C",'Mapa Instituc Corrupc 2023'!$O$41),"")</f>
        <v/>
      </c>
      <c r="AJ11" s="55" t="str">
        <f>IF(AND('Mapa Instituc Corrupc 2023'!$Y$42="Muy Alta",'Mapa Instituc Corrupc 2023'!$AA$42="Catastrófico"),CONCATENATE("R6C",'Mapa Instituc Corrupc 2023'!$O$42),"")</f>
        <v/>
      </c>
      <c r="AK11" s="55" t="str">
        <f>IF(AND('Mapa Instituc Corrupc 2023'!$Y$43="Muy Alta",'Mapa Instituc Corrupc 2023'!$AA$43="Catastrófico"),CONCATENATE("R6C",'Mapa Instituc Corrupc 2023'!$O$43),"")</f>
        <v/>
      </c>
      <c r="AL11" s="55" t="str">
        <f>IF(AND('Mapa Instituc Corrupc 2023'!$Y$44="Muy Alta",'Mapa Instituc Corrupc 2023'!$AA$44="Catastrófico"),CONCATENATE("R6C",'Mapa Instituc Corrupc 2023'!$O$44),"")</f>
        <v/>
      </c>
      <c r="AM11" s="56" t="str">
        <f>IF(AND('Mapa Instituc Corrupc 2023'!$Y$45="Muy Alta",'Mapa Instituc Corrupc 2023'!$AA$45="Catastrófico"),CONCATENATE("R6C",'Mapa Instituc Corrupc 2023'!$O$45),"")</f>
        <v/>
      </c>
      <c r="AN11" s="83"/>
      <c r="AO11" s="488"/>
      <c r="AP11" s="489"/>
      <c r="AQ11" s="489"/>
      <c r="AR11" s="489"/>
      <c r="AS11" s="489"/>
      <c r="AT11" s="490"/>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380"/>
      <c r="C12" s="380"/>
      <c r="D12" s="381"/>
      <c r="E12" s="481"/>
      <c r="F12" s="482"/>
      <c r="G12" s="482"/>
      <c r="H12" s="482"/>
      <c r="I12" s="497"/>
      <c r="J12" s="51" t="str">
        <f>IF(AND('Mapa Instituc Corrupc 2023'!$Y$46="Muy Alta",'Mapa Instituc Corrupc 2023'!$AA$46="Leve"),CONCATENATE("R7C",'Mapa Instituc Corrupc 2023'!$O$46),"")</f>
        <v/>
      </c>
      <c r="K12" s="52" t="str">
        <f>IF(AND('Mapa Instituc Corrupc 2023'!$Y$47="Muy Alta",'Mapa Instituc Corrupc 2023'!$AA$47="Leve"),CONCATENATE("R7C",'Mapa Instituc Corrupc 2023'!$O$47),"")</f>
        <v/>
      </c>
      <c r="L12" s="57" t="str">
        <f>IF(AND('Mapa Instituc Corrupc 2023'!$Y$48="Muy Alta",'Mapa Instituc Corrupc 2023'!$AA$48="Leve"),CONCATENATE("R7C",'Mapa Instituc Corrupc 2023'!$O$48),"")</f>
        <v/>
      </c>
      <c r="M12" s="57" t="str">
        <f>IF(AND('Mapa Instituc Corrupc 2023'!$Y$49="Muy Alta",'Mapa Instituc Corrupc 2023'!$AA$49="Leve"),CONCATENATE("R7C",'Mapa Instituc Corrupc 2023'!$O$49),"")</f>
        <v/>
      </c>
      <c r="N12" s="57" t="str">
        <f>IF(AND('Mapa Instituc Corrupc 2023'!$Y$50="Muy Alta",'Mapa Instituc Corrupc 2023'!$AA$50="Leve"),CONCATENATE("R7C",'Mapa Instituc Corrupc 2023'!$O$50),"")</f>
        <v/>
      </c>
      <c r="O12" s="53" t="str">
        <f>IF(AND('Mapa Instituc Corrupc 2023'!$Y$51="Muy Alta",'Mapa Instituc Corrupc 2023'!$AA$51="Leve"),CONCATENATE("R7C",'Mapa Instituc Corrupc 2023'!$O$51),"")</f>
        <v/>
      </c>
      <c r="P12" s="51" t="str">
        <f>IF(AND('Mapa Instituc Corrupc 2023'!$Y$46="Muy Alta",'Mapa Instituc Corrupc 2023'!$AA$46="Menor"),CONCATENATE("R7C",'Mapa Instituc Corrupc 2023'!$O$46),"")</f>
        <v/>
      </c>
      <c r="Q12" s="52" t="str">
        <f>IF(AND('Mapa Instituc Corrupc 2023'!$Y$47="Muy Alta",'Mapa Instituc Corrupc 2023'!$AA$47="Menor"),CONCATENATE("R7C",'Mapa Instituc Corrupc 2023'!$O$47),"")</f>
        <v/>
      </c>
      <c r="R12" s="57" t="str">
        <f>IF(AND('Mapa Instituc Corrupc 2023'!$Y$48="Muy Alta",'Mapa Instituc Corrupc 2023'!$AA$48="Menor"),CONCATENATE("R7C",'Mapa Instituc Corrupc 2023'!$O$48),"")</f>
        <v/>
      </c>
      <c r="S12" s="57" t="str">
        <f>IF(AND('Mapa Instituc Corrupc 2023'!$Y$49="Muy Alta",'Mapa Instituc Corrupc 2023'!$AA$49="Menor"),CONCATENATE("R7C",'Mapa Instituc Corrupc 2023'!$O$49),"")</f>
        <v/>
      </c>
      <c r="T12" s="57" t="str">
        <f>IF(AND('Mapa Instituc Corrupc 2023'!$Y$50="Muy Alta",'Mapa Instituc Corrupc 2023'!$AA$50="Menor"),CONCATENATE("R7C",'Mapa Instituc Corrupc 2023'!$O$50),"")</f>
        <v/>
      </c>
      <c r="U12" s="53" t="str">
        <f>IF(AND('Mapa Instituc Corrupc 2023'!$Y$51="Muy Alta",'Mapa Instituc Corrupc 2023'!$AA$51="Menor"),CONCATENATE("R7C",'Mapa Instituc Corrupc 2023'!$O$51),"")</f>
        <v/>
      </c>
      <c r="V12" s="51" t="str">
        <f>IF(AND('Mapa Instituc Corrupc 2023'!$Y$46="Muy Alta",'Mapa Instituc Corrupc 2023'!$AA$46="Moderado"),CONCATENATE("R7C",'Mapa Instituc Corrupc 2023'!$O$46),"")</f>
        <v/>
      </c>
      <c r="W12" s="52" t="str">
        <f>IF(AND('Mapa Instituc Corrupc 2023'!$Y$47="Muy Alta",'Mapa Instituc Corrupc 2023'!$AA$47="Moderado"),CONCATENATE("R7C",'Mapa Instituc Corrupc 2023'!$O$47),"")</f>
        <v/>
      </c>
      <c r="X12" s="57" t="str">
        <f>IF(AND('Mapa Instituc Corrupc 2023'!$Y$48="Muy Alta",'Mapa Instituc Corrupc 2023'!$AA$48="Moderado"),CONCATENATE("R7C",'Mapa Instituc Corrupc 2023'!$O$48),"")</f>
        <v/>
      </c>
      <c r="Y12" s="57" t="str">
        <f>IF(AND('Mapa Instituc Corrupc 2023'!$Y$49="Muy Alta",'Mapa Instituc Corrupc 2023'!$AA$49="Moderado"),CONCATENATE("R7C",'Mapa Instituc Corrupc 2023'!$O$49),"")</f>
        <v/>
      </c>
      <c r="Z12" s="57" t="str">
        <f>IF(AND('Mapa Instituc Corrupc 2023'!$Y$50="Muy Alta",'Mapa Instituc Corrupc 2023'!$AA$50="Moderado"),CONCATENATE("R7C",'Mapa Instituc Corrupc 2023'!$O$50),"")</f>
        <v/>
      </c>
      <c r="AA12" s="53" t="str">
        <f>IF(AND('Mapa Instituc Corrupc 2023'!$Y$51="Muy Alta",'Mapa Instituc Corrupc 2023'!$AA$51="Moderado"),CONCATENATE("R7C",'Mapa Instituc Corrupc 2023'!$O$51),"")</f>
        <v/>
      </c>
      <c r="AB12" s="51" t="str">
        <f>IF(AND('Mapa Instituc Corrupc 2023'!$Y$46="Muy Alta",'Mapa Instituc Corrupc 2023'!$AA$46="Mayor"),CONCATENATE("R7C",'Mapa Instituc Corrupc 2023'!$O$46),"")</f>
        <v/>
      </c>
      <c r="AC12" s="52" t="str">
        <f>IF(AND('Mapa Instituc Corrupc 2023'!$Y$47="Muy Alta",'Mapa Instituc Corrupc 2023'!$AA$47="Mayor"),CONCATENATE("R7C",'Mapa Instituc Corrupc 2023'!$O$47),"")</f>
        <v/>
      </c>
      <c r="AD12" s="57" t="str">
        <f>IF(AND('Mapa Instituc Corrupc 2023'!$Y$48="Muy Alta",'Mapa Instituc Corrupc 2023'!$AA$48="Mayor"),CONCATENATE("R7C",'Mapa Instituc Corrupc 2023'!$O$48),"")</f>
        <v/>
      </c>
      <c r="AE12" s="57" t="str">
        <f>IF(AND('Mapa Instituc Corrupc 2023'!$Y$49="Muy Alta",'Mapa Instituc Corrupc 2023'!$AA$49="Mayor"),CONCATENATE("R7C",'Mapa Instituc Corrupc 2023'!$O$49),"")</f>
        <v/>
      </c>
      <c r="AF12" s="57" t="str">
        <f>IF(AND('Mapa Instituc Corrupc 2023'!$Y$50="Muy Alta",'Mapa Instituc Corrupc 2023'!$AA$50="Mayor"),CONCATENATE("R7C",'Mapa Instituc Corrupc 2023'!$O$50),"")</f>
        <v/>
      </c>
      <c r="AG12" s="53" t="str">
        <f>IF(AND('Mapa Instituc Corrupc 2023'!$Y$51="Muy Alta",'Mapa Instituc Corrupc 2023'!$AA$51="Mayor"),CONCATENATE("R7C",'Mapa Instituc Corrupc 2023'!$O$51),"")</f>
        <v/>
      </c>
      <c r="AH12" s="54" t="str">
        <f>IF(AND('Mapa Instituc Corrupc 2023'!$Y$46="Muy Alta",'Mapa Instituc Corrupc 2023'!$AA$46="Catastrófico"),CONCATENATE("R7C",'Mapa Instituc Corrupc 2023'!$O$46),"")</f>
        <v/>
      </c>
      <c r="AI12" s="55" t="str">
        <f>IF(AND('Mapa Instituc Corrupc 2023'!$Y$47="Muy Alta",'Mapa Instituc Corrupc 2023'!$AA$47="Catastrófico"),CONCATENATE("R7C",'Mapa Instituc Corrupc 2023'!$O$47),"")</f>
        <v/>
      </c>
      <c r="AJ12" s="55" t="str">
        <f>IF(AND('Mapa Instituc Corrupc 2023'!$Y$48="Muy Alta",'Mapa Instituc Corrupc 2023'!$AA$48="Catastrófico"),CONCATENATE("R7C",'Mapa Instituc Corrupc 2023'!$O$48),"")</f>
        <v/>
      </c>
      <c r="AK12" s="55" t="str">
        <f>IF(AND('Mapa Instituc Corrupc 2023'!$Y$49="Muy Alta",'Mapa Instituc Corrupc 2023'!$AA$49="Catastrófico"),CONCATENATE("R7C",'Mapa Instituc Corrupc 2023'!$O$49),"")</f>
        <v/>
      </c>
      <c r="AL12" s="55" t="str">
        <f>IF(AND('Mapa Instituc Corrupc 2023'!$Y$50="Muy Alta",'Mapa Instituc Corrupc 2023'!$AA$50="Catastrófico"),CONCATENATE("R7C",'Mapa Instituc Corrupc 2023'!$O$50),"")</f>
        <v/>
      </c>
      <c r="AM12" s="56" t="str">
        <f>IF(AND('Mapa Instituc Corrupc 2023'!$Y$51="Muy Alta",'Mapa Instituc Corrupc 2023'!$AA$51="Catastrófico"),CONCATENATE("R7C",'Mapa Instituc Corrupc 2023'!$O$51),"")</f>
        <v/>
      </c>
      <c r="AN12" s="83"/>
      <c r="AO12" s="488"/>
      <c r="AP12" s="489"/>
      <c r="AQ12" s="489"/>
      <c r="AR12" s="489"/>
      <c r="AS12" s="489"/>
      <c r="AT12" s="490"/>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380"/>
      <c r="C13" s="380"/>
      <c r="D13" s="381"/>
      <c r="E13" s="481"/>
      <c r="F13" s="482"/>
      <c r="G13" s="482"/>
      <c r="H13" s="482"/>
      <c r="I13" s="497"/>
      <c r="J13" s="51" t="str">
        <f>IF(AND('Mapa Instituc Corrupc 2023'!$Y$52="Muy Alta",'Mapa Instituc Corrupc 2023'!$AA$52="Leve"),CONCATENATE("R8C",'Mapa Instituc Corrupc 2023'!$O$52),"")</f>
        <v/>
      </c>
      <c r="K13" s="52" t="str">
        <f>IF(AND('Mapa Instituc Corrupc 2023'!$Y$53="Muy Alta",'Mapa Instituc Corrupc 2023'!$AA$53="Leve"),CONCATENATE("R8C",'Mapa Instituc Corrupc 2023'!$O$53),"")</f>
        <v/>
      </c>
      <c r="L13" s="57" t="str">
        <f>IF(AND('Mapa Instituc Corrupc 2023'!$Y$54="Muy Alta",'Mapa Instituc Corrupc 2023'!$AA$54="Leve"),CONCATENATE("R8C",'Mapa Instituc Corrupc 2023'!$O$54),"")</f>
        <v/>
      </c>
      <c r="M13" s="57" t="str">
        <f>IF(AND('Mapa Instituc Corrupc 2023'!$Y$55="Muy Alta",'Mapa Instituc Corrupc 2023'!$AA$55="Leve"),CONCATENATE("R8C",'Mapa Instituc Corrupc 2023'!$O$55),"")</f>
        <v/>
      </c>
      <c r="N13" s="57" t="str">
        <f>IF(AND('Mapa Instituc Corrupc 2023'!$Y$56="Muy Alta",'Mapa Instituc Corrupc 2023'!$AA$56="Leve"),CONCATENATE("R8C",'Mapa Instituc Corrupc 2023'!$O$56),"")</f>
        <v/>
      </c>
      <c r="O13" s="53" t="str">
        <f>IF(AND('Mapa Instituc Corrupc 2023'!$Y$57="Muy Alta",'Mapa Instituc Corrupc 2023'!$AA$57="Leve"),CONCATENATE("R8C",'Mapa Instituc Corrupc 2023'!$O$57),"")</f>
        <v/>
      </c>
      <c r="P13" s="51" t="str">
        <f>IF(AND('Mapa Instituc Corrupc 2023'!$Y$52="Muy Alta",'Mapa Instituc Corrupc 2023'!$AA$52="Menor"),CONCATENATE("R8C",'Mapa Instituc Corrupc 2023'!$O$52),"")</f>
        <v/>
      </c>
      <c r="Q13" s="52" t="str">
        <f>IF(AND('Mapa Instituc Corrupc 2023'!$Y$53="Muy Alta",'Mapa Instituc Corrupc 2023'!$AA$53="Menor"),CONCATENATE("R8C",'Mapa Instituc Corrupc 2023'!$O$53),"")</f>
        <v/>
      </c>
      <c r="R13" s="57" t="str">
        <f>IF(AND('Mapa Instituc Corrupc 2023'!$Y$54="Muy Alta",'Mapa Instituc Corrupc 2023'!$AA$54="Menor"),CONCATENATE("R8C",'Mapa Instituc Corrupc 2023'!$O$54),"")</f>
        <v/>
      </c>
      <c r="S13" s="57" t="str">
        <f>IF(AND('Mapa Instituc Corrupc 2023'!$Y$55="Muy Alta",'Mapa Instituc Corrupc 2023'!$AA$55="Menor"),CONCATENATE("R8C",'Mapa Instituc Corrupc 2023'!$O$55),"")</f>
        <v/>
      </c>
      <c r="T13" s="57" t="str">
        <f>IF(AND('Mapa Instituc Corrupc 2023'!$Y$56="Muy Alta",'Mapa Instituc Corrupc 2023'!$AA$56="Menor"),CONCATENATE("R8C",'Mapa Instituc Corrupc 2023'!$O$56),"")</f>
        <v/>
      </c>
      <c r="U13" s="53" t="str">
        <f>IF(AND('Mapa Instituc Corrupc 2023'!$Y$57="Muy Alta",'Mapa Instituc Corrupc 2023'!$AA$57="Menor"),CONCATENATE("R8C",'Mapa Instituc Corrupc 2023'!$O$57),"")</f>
        <v/>
      </c>
      <c r="V13" s="51" t="str">
        <f>IF(AND('Mapa Instituc Corrupc 2023'!$Y$52="Muy Alta",'Mapa Instituc Corrupc 2023'!$AA$52="Moderado"),CONCATENATE("R8C",'Mapa Instituc Corrupc 2023'!$O$52),"")</f>
        <v/>
      </c>
      <c r="W13" s="52" t="str">
        <f>IF(AND('Mapa Instituc Corrupc 2023'!$Y$53="Muy Alta",'Mapa Instituc Corrupc 2023'!$AA$53="Moderado"),CONCATENATE("R8C",'Mapa Instituc Corrupc 2023'!$O$53),"")</f>
        <v/>
      </c>
      <c r="X13" s="57" t="str">
        <f>IF(AND('Mapa Instituc Corrupc 2023'!$Y$54="Muy Alta",'Mapa Instituc Corrupc 2023'!$AA$54="Moderado"),CONCATENATE("R8C",'Mapa Instituc Corrupc 2023'!$O$54),"")</f>
        <v/>
      </c>
      <c r="Y13" s="57" t="str">
        <f>IF(AND('Mapa Instituc Corrupc 2023'!$Y$55="Muy Alta",'Mapa Instituc Corrupc 2023'!$AA$55="Moderado"),CONCATENATE("R8C",'Mapa Instituc Corrupc 2023'!$O$55),"")</f>
        <v/>
      </c>
      <c r="Z13" s="57" t="str">
        <f>IF(AND('Mapa Instituc Corrupc 2023'!$Y$56="Muy Alta",'Mapa Instituc Corrupc 2023'!$AA$56="Moderado"),CONCATENATE("R8C",'Mapa Instituc Corrupc 2023'!$O$56),"")</f>
        <v/>
      </c>
      <c r="AA13" s="53" t="str">
        <f>IF(AND('Mapa Instituc Corrupc 2023'!$Y$57="Muy Alta",'Mapa Instituc Corrupc 2023'!$AA$57="Moderado"),CONCATENATE("R8C",'Mapa Instituc Corrupc 2023'!$O$57),"")</f>
        <v/>
      </c>
      <c r="AB13" s="51" t="str">
        <f>IF(AND('Mapa Instituc Corrupc 2023'!$Y$52="Muy Alta",'Mapa Instituc Corrupc 2023'!$AA$52="Mayor"),CONCATENATE("R8C",'Mapa Instituc Corrupc 2023'!$O$52),"")</f>
        <v/>
      </c>
      <c r="AC13" s="52" t="str">
        <f>IF(AND('Mapa Instituc Corrupc 2023'!$Y$53="Muy Alta",'Mapa Instituc Corrupc 2023'!$AA$53="Mayor"),CONCATENATE("R8C",'Mapa Instituc Corrupc 2023'!$O$53),"")</f>
        <v/>
      </c>
      <c r="AD13" s="57" t="str">
        <f>IF(AND('Mapa Instituc Corrupc 2023'!$Y$54="Muy Alta",'Mapa Instituc Corrupc 2023'!$AA$54="Mayor"),CONCATENATE("R8C",'Mapa Instituc Corrupc 2023'!$O$54),"")</f>
        <v/>
      </c>
      <c r="AE13" s="57" t="str">
        <f>IF(AND('Mapa Instituc Corrupc 2023'!$Y$55="Muy Alta",'Mapa Instituc Corrupc 2023'!$AA$55="Mayor"),CONCATENATE("R8C",'Mapa Instituc Corrupc 2023'!$O$55),"")</f>
        <v/>
      </c>
      <c r="AF13" s="57" t="str">
        <f>IF(AND('Mapa Instituc Corrupc 2023'!$Y$56="Muy Alta",'Mapa Instituc Corrupc 2023'!$AA$56="Mayor"),CONCATENATE("R8C",'Mapa Instituc Corrupc 2023'!$O$56),"")</f>
        <v/>
      </c>
      <c r="AG13" s="53" t="str">
        <f>IF(AND('Mapa Instituc Corrupc 2023'!$Y$57="Muy Alta",'Mapa Instituc Corrupc 2023'!$AA$57="Mayor"),CONCATENATE("R8C",'Mapa Instituc Corrupc 2023'!$O$57),"")</f>
        <v/>
      </c>
      <c r="AH13" s="54" t="str">
        <f>IF(AND('Mapa Instituc Corrupc 2023'!$Y$52="Muy Alta",'Mapa Instituc Corrupc 2023'!$AA$52="Catastrófico"),CONCATENATE("R8C",'Mapa Instituc Corrupc 2023'!$O$52),"")</f>
        <v/>
      </c>
      <c r="AI13" s="55" t="str">
        <f>IF(AND('Mapa Instituc Corrupc 2023'!$Y$53="Muy Alta",'Mapa Instituc Corrupc 2023'!$AA$53="Catastrófico"),CONCATENATE("R8C",'Mapa Instituc Corrupc 2023'!$O$53),"")</f>
        <v/>
      </c>
      <c r="AJ13" s="55" t="str">
        <f>IF(AND('Mapa Instituc Corrupc 2023'!$Y$54="Muy Alta",'Mapa Instituc Corrupc 2023'!$AA$54="Catastrófico"),CONCATENATE("R8C",'Mapa Instituc Corrupc 2023'!$O$54),"")</f>
        <v/>
      </c>
      <c r="AK13" s="55" t="str">
        <f>IF(AND('Mapa Instituc Corrupc 2023'!$Y$55="Muy Alta",'Mapa Instituc Corrupc 2023'!$AA$55="Catastrófico"),CONCATENATE("R8C",'Mapa Instituc Corrupc 2023'!$O$55),"")</f>
        <v/>
      </c>
      <c r="AL13" s="55" t="str">
        <f>IF(AND('Mapa Instituc Corrupc 2023'!$Y$56="Muy Alta",'Mapa Instituc Corrupc 2023'!$AA$56="Catastrófico"),CONCATENATE("R8C",'Mapa Instituc Corrupc 2023'!$O$56),"")</f>
        <v/>
      </c>
      <c r="AM13" s="56" t="str">
        <f>IF(AND('Mapa Instituc Corrupc 2023'!$Y$57="Muy Alta",'Mapa Instituc Corrupc 2023'!$AA$57="Catastrófico"),CONCATENATE("R8C",'Mapa Instituc Corrupc 2023'!$O$57),"")</f>
        <v/>
      </c>
      <c r="AN13" s="83"/>
      <c r="AO13" s="488"/>
      <c r="AP13" s="489"/>
      <c r="AQ13" s="489"/>
      <c r="AR13" s="489"/>
      <c r="AS13" s="489"/>
      <c r="AT13" s="490"/>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380"/>
      <c r="C14" s="380"/>
      <c r="D14" s="381"/>
      <c r="E14" s="481"/>
      <c r="F14" s="482"/>
      <c r="G14" s="482"/>
      <c r="H14" s="482"/>
      <c r="I14" s="497"/>
      <c r="J14" s="51" t="str">
        <f>IF(AND('Mapa Instituc Corrupc 2023'!$Y$58="Muy Alta",'Mapa Instituc Corrupc 2023'!$AA$58="Leve"),CONCATENATE("R9C",'Mapa Instituc Corrupc 2023'!$O$58),"")</f>
        <v/>
      </c>
      <c r="K14" s="52" t="str">
        <f>IF(AND('Mapa Instituc Corrupc 2023'!$Y$59="Muy Alta",'Mapa Instituc Corrupc 2023'!$AA$59="Leve"),CONCATENATE("R9C",'Mapa Instituc Corrupc 2023'!$O$59),"")</f>
        <v/>
      </c>
      <c r="L14" s="57" t="str">
        <f>IF(AND('Mapa Instituc Corrupc 2023'!$Y$60="Muy Alta",'Mapa Instituc Corrupc 2023'!$AA$60="Leve"),CONCATENATE("R9C",'Mapa Instituc Corrupc 2023'!$O$60),"")</f>
        <v/>
      </c>
      <c r="M14" s="57" t="str">
        <f>IF(AND('Mapa Instituc Corrupc 2023'!$Y$61="Muy Alta",'Mapa Instituc Corrupc 2023'!$AA$61="Leve"),CONCATENATE("R9C",'Mapa Instituc Corrupc 2023'!$O$61),"")</f>
        <v/>
      </c>
      <c r="N14" s="57" t="str">
        <f>IF(AND('Mapa Instituc Corrupc 2023'!$Y$62="Muy Alta",'Mapa Instituc Corrupc 2023'!$AA$62="Leve"),CONCATENATE("R9C",'Mapa Instituc Corrupc 2023'!$O$62),"")</f>
        <v/>
      </c>
      <c r="O14" s="53" t="str">
        <f>IF(AND('Mapa Instituc Corrupc 2023'!$Y$63="Muy Alta",'Mapa Instituc Corrupc 2023'!$AA$63="Leve"),CONCATENATE("R9C",'Mapa Instituc Corrupc 2023'!$O$63),"")</f>
        <v/>
      </c>
      <c r="P14" s="51" t="str">
        <f>IF(AND('Mapa Instituc Corrupc 2023'!$Y$58="Muy Alta",'Mapa Instituc Corrupc 2023'!$AA$58="Menor"),CONCATENATE("R9C",'Mapa Instituc Corrupc 2023'!$O$58),"")</f>
        <v/>
      </c>
      <c r="Q14" s="52" t="str">
        <f>IF(AND('Mapa Instituc Corrupc 2023'!$Y$59="Muy Alta",'Mapa Instituc Corrupc 2023'!$AA$59="Menor"),CONCATENATE("R9C",'Mapa Instituc Corrupc 2023'!$O$59),"")</f>
        <v/>
      </c>
      <c r="R14" s="57" t="str">
        <f>IF(AND('Mapa Instituc Corrupc 2023'!$Y$60="Muy Alta",'Mapa Instituc Corrupc 2023'!$AA$60="Menor"),CONCATENATE("R9C",'Mapa Instituc Corrupc 2023'!$O$60),"")</f>
        <v/>
      </c>
      <c r="S14" s="57" t="str">
        <f>IF(AND('Mapa Instituc Corrupc 2023'!$Y$61="Muy Alta",'Mapa Instituc Corrupc 2023'!$AA$61="Menor"),CONCATENATE("R9C",'Mapa Instituc Corrupc 2023'!$O$61),"")</f>
        <v/>
      </c>
      <c r="T14" s="57" t="str">
        <f>IF(AND('Mapa Instituc Corrupc 2023'!$Y$62="Muy Alta",'Mapa Instituc Corrupc 2023'!$AA$62="Menor"),CONCATENATE("R9C",'Mapa Instituc Corrupc 2023'!$O$62),"")</f>
        <v/>
      </c>
      <c r="U14" s="53" t="str">
        <f>IF(AND('Mapa Instituc Corrupc 2023'!$Y$63="Muy Alta",'Mapa Instituc Corrupc 2023'!$AA$63="Menor"),CONCATENATE("R9C",'Mapa Instituc Corrupc 2023'!$O$63),"")</f>
        <v/>
      </c>
      <c r="V14" s="51" t="str">
        <f>IF(AND('Mapa Instituc Corrupc 2023'!$Y$58="Muy Alta",'Mapa Instituc Corrupc 2023'!$AA$58="Moderado"),CONCATENATE("R9C",'Mapa Instituc Corrupc 2023'!$O$58),"")</f>
        <v/>
      </c>
      <c r="W14" s="52" t="str">
        <f>IF(AND('Mapa Instituc Corrupc 2023'!$Y$59="Muy Alta",'Mapa Instituc Corrupc 2023'!$AA$59="Moderado"),CONCATENATE("R9C",'Mapa Instituc Corrupc 2023'!$O$59),"")</f>
        <v/>
      </c>
      <c r="X14" s="57" t="str">
        <f>IF(AND('Mapa Instituc Corrupc 2023'!$Y$60="Muy Alta",'Mapa Instituc Corrupc 2023'!$AA$60="Moderado"),CONCATENATE("R9C",'Mapa Instituc Corrupc 2023'!$O$60),"")</f>
        <v/>
      </c>
      <c r="Y14" s="57" t="str">
        <f>IF(AND('Mapa Instituc Corrupc 2023'!$Y$61="Muy Alta",'Mapa Instituc Corrupc 2023'!$AA$61="Moderado"),CONCATENATE("R9C",'Mapa Instituc Corrupc 2023'!$O$61),"")</f>
        <v/>
      </c>
      <c r="Z14" s="57" t="str">
        <f>IF(AND('Mapa Instituc Corrupc 2023'!$Y$62="Muy Alta",'Mapa Instituc Corrupc 2023'!$AA$62="Moderado"),CONCATENATE("R9C",'Mapa Instituc Corrupc 2023'!$O$62),"")</f>
        <v/>
      </c>
      <c r="AA14" s="53" t="str">
        <f>IF(AND('Mapa Instituc Corrupc 2023'!$Y$63="Muy Alta",'Mapa Instituc Corrupc 2023'!$AA$63="Moderado"),CONCATENATE("R9C",'Mapa Instituc Corrupc 2023'!$O$63),"")</f>
        <v/>
      </c>
      <c r="AB14" s="51" t="str">
        <f>IF(AND('Mapa Instituc Corrupc 2023'!$Y$58="Muy Alta",'Mapa Instituc Corrupc 2023'!$AA$58="Mayor"),CONCATENATE("R9C",'Mapa Instituc Corrupc 2023'!$O$58),"")</f>
        <v/>
      </c>
      <c r="AC14" s="52" t="str">
        <f>IF(AND('Mapa Instituc Corrupc 2023'!$Y$59="Muy Alta",'Mapa Instituc Corrupc 2023'!$AA$59="Mayor"),CONCATENATE("R9C",'Mapa Instituc Corrupc 2023'!$O$59),"")</f>
        <v/>
      </c>
      <c r="AD14" s="57" t="str">
        <f>IF(AND('Mapa Instituc Corrupc 2023'!$Y$60="Muy Alta",'Mapa Instituc Corrupc 2023'!$AA$60="Mayor"),CONCATENATE("R9C",'Mapa Instituc Corrupc 2023'!$O$60),"")</f>
        <v/>
      </c>
      <c r="AE14" s="57" t="str">
        <f>IF(AND('Mapa Instituc Corrupc 2023'!$Y$61="Muy Alta",'Mapa Instituc Corrupc 2023'!$AA$61="Mayor"),CONCATENATE("R9C",'Mapa Instituc Corrupc 2023'!$O$61),"")</f>
        <v/>
      </c>
      <c r="AF14" s="57" t="str">
        <f>IF(AND('Mapa Instituc Corrupc 2023'!$Y$62="Muy Alta",'Mapa Instituc Corrupc 2023'!$AA$62="Mayor"),CONCATENATE("R9C",'Mapa Instituc Corrupc 2023'!$O$62),"")</f>
        <v/>
      </c>
      <c r="AG14" s="53" t="str">
        <f>IF(AND('Mapa Instituc Corrupc 2023'!$Y$63="Muy Alta",'Mapa Instituc Corrupc 2023'!$AA$63="Mayor"),CONCATENATE("R9C",'Mapa Instituc Corrupc 2023'!$O$63),"")</f>
        <v/>
      </c>
      <c r="AH14" s="54" t="str">
        <f>IF(AND('Mapa Instituc Corrupc 2023'!$Y$58="Muy Alta",'Mapa Instituc Corrupc 2023'!$AA$58="Catastrófico"),CONCATENATE("R9C",'Mapa Instituc Corrupc 2023'!$O$58),"")</f>
        <v/>
      </c>
      <c r="AI14" s="55" t="str">
        <f>IF(AND('Mapa Instituc Corrupc 2023'!$Y$59="Muy Alta",'Mapa Instituc Corrupc 2023'!$AA$59="Catastrófico"),CONCATENATE("R9C",'Mapa Instituc Corrupc 2023'!$O$59),"")</f>
        <v/>
      </c>
      <c r="AJ14" s="55" t="str">
        <f>IF(AND('Mapa Instituc Corrupc 2023'!$Y$60="Muy Alta",'Mapa Instituc Corrupc 2023'!$AA$60="Catastrófico"),CONCATENATE("R9C",'Mapa Instituc Corrupc 2023'!$O$60),"")</f>
        <v/>
      </c>
      <c r="AK14" s="55" t="str">
        <f>IF(AND('Mapa Instituc Corrupc 2023'!$Y$61="Muy Alta",'Mapa Instituc Corrupc 2023'!$AA$61="Catastrófico"),CONCATENATE("R9C",'Mapa Instituc Corrupc 2023'!$O$61),"")</f>
        <v/>
      </c>
      <c r="AL14" s="55" t="str">
        <f>IF(AND('Mapa Instituc Corrupc 2023'!$Y$62="Muy Alta",'Mapa Instituc Corrupc 2023'!$AA$62="Catastrófico"),CONCATENATE("R9C",'Mapa Instituc Corrupc 2023'!$O$62),"")</f>
        <v/>
      </c>
      <c r="AM14" s="56" t="str">
        <f>IF(AND('Mapa Instituc Corrupc 2023'!$Y$63="Muy Alta",'Mapa Instituc Corrupc 2023'!$AA$63="Catastrófico"),CONCATENATE("R9C",'Mapa Instituc Corrupc 2023'!$O$63),"")</f>
        <v/>
      </c>
      <c r="AN14" s="83"/>
      <c r="AO14" s="488"/>
      <c r="AP14" s="489"/>
      <c r="AQ14" s="489"/>
      <c r="AR14" s="489"/>
      <c r="AS14" s="489"/>
      <c r="AT14" s="490"/>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380"/>
      <c r="C15" s="380"/>
      <c r="D15" s="381"/>
      <c r="E15" s="483"/>
      <c r="F15" s="484"/>
      <c r="G15" s="484"/>
      <c r="H15" s="484"/>
      <c r="I15" s="498"/>
      <c r="J15" s="58" t="str">
        <f>IF(AND('Mapa Instituc Corrupc 2023'!$Y$64="Muy Alta",'Mapa Instituc Corrupc 2023'!$AA$64="Leve"),CONCATENATE("R10C",'Mapa Instituc Corrupc 2023'!$O$64),"")</f>
        <v/>
      </c>
      <c r="K15" s="59" t="str">
        <f>IF(AND('Mapa Instituc Corrupc 2023'!$Y$65="Muy Alta",'Mapa Instituc Corrupc 2023'!$AA$65="Leve"),CONCATENATE("R10C",'Mapa Instituc Corrupc 2023'!$O$65),"")</f>
        <v/>
      </c>
      <c r="L15" s="59" t="str">
        <f>IF(AND('Mapa Instituc Corrupc 2023'!$Y$66="Muy Alta",'Mapa Instituc Corrupc 2023'!$AA$66="Leve"),CONCATENATE("R10C",'Mapa Instituc Corrupc 2023'!$O$66),"")</f>
        <v/>
      </c>
      <c r="M15" s="59" t="str">
        <f>IF(AND('Mapa Instituc Corrupc 2023'!$Y$67="Muy Alta",'Mapa Instituc Corrupc 2023'!$AA$67="Leve"),CONCATENATE("R10C",'Mapa Instituc Corrupc 2023'!$O$67),"")</f>
        <v/>
      </c>
      <c r="N15" s="59" t="str">
        <f>IF(AND('Mapa Instituc Corrupc 2023'!$Y$68="Muy Alta",'Mapa Instituc Corrupc 2023'!$AA$68="Leve"),CONCATENATE("R10C",'Mapa Instituc Corrupc 2023'!$O$68),"")</f>
        <v/>
      </c>
      <c r="O15" s="60" t="str">
        <f>IF(AND('Mapa Instituc Corrupc 2023'!$Y$69="Muy Alta",'Mapa Instituc Corrupc 2023'!$AA$69="Leve"),CONCATENATE("R10C",'Mapa Instituc Corrupc 2023'!$O$69),"")</f>
        <v/>
      </c>
      <c r="P15" s="51" t="str">
        <f>IF(AND('Mapa Instituc Corrupc 2023'!$Y$64="Muy Alta",'Mapa Instituc Corrupc 2023'!$AA$64="Menor"),CONCATENATE("R10C",'Mapa Instituc Corrupc 2023'!$O$64),"")</f>
        <v/>
      </c>
      <c r="Q15" s="52" t="str">
        <f>IF(AND('Mapa Instituc Corrupc 2023'!$Y$65="Muy Alta",'Mapa Instituc Corrupc 2023'!$AA$65="Menor"),CONCATENATE("R10C",'Mapa Instituc Corrupc 2023'!$O$65),"")</f>
        <v/>
      </c>
      <c r="R15" s="52" t="str">
        <f>IF(AND('Mapa Instituc Corrupc 2023'!$Y$66="Muy Alta",'Mapa Instituc Corrupc 2023'!$AA$66="Menor"),CONCATENATE("R10C",'Mapa Instituc Corrupc 2023'!$O$66),"")</f>
        <v/>
      </c>
      <c r="S15" s="52" t="str">
        <f>IF(AND('Mapa Instituc Corrupc 2023'!$Y$67="Muy Alta",'Mapa Instituc Corrupc 2023'!$AA$67="Menor"),CONCATENATE("R10C",'Mapa Instituc Corrupc 2023'!$O$67),"")</f>
        <v/>
      </c>
      <c r="T15" s="52" t="str">
        <f>IF(AND('Mapa Instituc Corrupc 2023'!$Y$68="Muy Alta",'Mapa Instituc Corrupc 2023'!$AA$68="Menor"),CONCATENATE("R10C",'Mapa Instituc Corrupc 2023'!$O$68),"")</f>
        <v/>
      </c>
      <c r="U15" s="53" t="str">
        <f>IF(AND('Mapa Instituc Corrupc 2023'!$Y$69="Muy Alta",'Mapa Instituc Corrupc 2023'!$AA$69="Menor"),CONCATENATE("R10C",'Mapa Instituc Corrupc 2023'!$O$69),"")</f>
        <v/>
      </c>
      <c r="V15" s="58" t="str">
        <f>IF(AND('Mapa Instituc Corrupc 2023'!$Y$64="Muy Alta",'Mapa Instituc Corrupc 2023'!$AA$64="Moderado"),CONCATENATE("R10C",'Mapa Instituc Corrupc 2023'!$O$64),"")</f>
        <v/>
      </c>
      <c r="W15" s="59" t="str">
        <f>IF(AND('Mapa Instituc Corrupc 2023'!$Y$65="Muy Alta",'Mapa Instituc Corrupc 2023'!$AA$65="Moderado"),CONCATENATE("R10C",'Mapa Instituc Corrupc 2023'!$O$65),"")</f>
        <v/>
      </c>
      <c r="X15" s="59" t="str">
        <f>IF(AND('Mapa Instituc Corrupc 2023'!$Y$66="Muy Alta",'Mapa Instituc Corrupc 2023'!$AA$66="Moderado"),CONCATENATE("R10C",'Mapa Instituc Corrupc 2023'!$O$66),"")</f>
        <v/>
      </c>
      <c r="Y15" s="59" t="str">
        <f>IF(AND('Mapa Instituc Corrupc 2023'!$Y$67="Muy Alta",'Mapa Instituc Corrupc 2023'!$AA$67="Moderado"),CONCATENATE("R10C",'Mapa Instituc Corrupc 2023'!$O$67),"")</f>
        <v/>
      </c>
      <c r="Z15" s="59" t="str">
        <f>IF(AND('Mapa Instituc Corrupc 2023'!$Y$68="Muy Alta",'Mapa Instituc Corrupc 2023'!$AA$68="Moderado"),CONCATENATE("R10C",'Mapa Instituc Corrupc 2023'!$O$68),"")</f>
        <v/>
      </c>
      <c r="AA15" s="60" t="str">
        <f>IF(AND('Mapa Instituc Corrupc 2023'!$Y$69="Muy Alta",'Mapa Instituc Corrupc 2023'!$AA$69="Moderado"),CONCATENATE("R10C",'Mapa Instituc Corrupc 2023'!$O$69),"")</f>
        <v/>
      </c>
      <c r="AB15" s="51" t="str">
        <f>IF(AND('Mapa Instituc Corrupc 2023'!$Y$64="Muy Alta",'Mapa Instituc Corrupc 2023'!$AA$64="Mayor"),CONCATENATE("R10C",'Mapa Instituc Corrupc 2023'!$O$64),"")</f>
        <v/>
      </c>
      <c r="AC15" s="52" t="str">
        <f>IF(AND('Mapa Instituc Corrupc 2023'!$Y$65="Muy Alta",'Mapa Instituc Corrupc 2023'!$AA$65="Mayor"),CONCATENATE("R10C",'Mapa Instituc Corrupc 2023'!$O$65),"")</f>
        <v/>
      </c>
      <c r="AD15" s="52" t="str">
        <f>IF(AND('Mapa Instituc Corrupc 2023'!$Y$66="Muy Alta",'Mapa Instituc Corrupc 2023'!$AA$66="Mayor"),CONCATENATE("R10C",'Mapa Instituc Corrupc 2023'!$O$66),"")</f>
        <v/>
      </c>
      <c r="AE15" s="52" t="str">
        <f>IF(AND('Mapa Instituc Corrupc 2023'!$Y$67="Muy Alta",'Mapa Instituc Corrupc 2023'!$AA$67="Mayor"),CONCATENATE("R10C",'Mapa Instituc Corrupc 2023'!$O$67),"")</f>
        <v/>
      </c>
      <c r="AF15" s="52" t="str">
        <f>IF(AND('Mapa Instituc Corrupc 2023'!$Y$68="Muy Alta",'Mapa Instituc Corrupc 2023'!$AA$68="Mayor"),CONCATENATE("R10C",'Mapa Instituc Corrupc 2023'!$O$68),"")</f>
        <v/>
      </c>
      <c r="AG15" s="53" t="str">
        <f>IF(AND('Mapa Instituc Corrupc 2023'!$Y$69="Muy Alta",'Mapa Instituc Corrupc 2023'!$AA$69="Mayor"),CONCATENATE("R10C",'Mapa Instituc Corrupc 2023'!$O$69),"")</f>
        <v/>
      </c>
      <c r="AH15" s="61" t="str">
        <f>IF(AND('Mapa Instituc Corrupc 2023'!$Y$64="Muy Alta",'Mapa Instituc Corrupc 2023'!$AA$64="Catastrófico"),CONCATENATE("R10C",'Mapa Instituc Corrupc 2023'!$O$64),"")</f>
        <v/>
      </c>
      <c r="AI15" s="62" t="str">
        <f>IF(AND('Mapa Instituc Corrupc 2023'!$Y$65="Muy Alta",'Mapa Instituc Corrupc 2023'!$AA$65="Catastrófico"),CONCATENATE("R10C",'Mapa Instituc Corrupc 2023'!$O$65),"")</f>
        <v/>
      </c>
      <c r="AJ15" s="62" t="str">
        <f>IF(AND('Mapa Instituc Corrupc 2023'!$Y$66="Muy Alta",'Mapa Instituc Corrupc 2023'!$AA$66="Catastrófico"),CONCATENATE("R10C",'Mapa Instituc Corrupc 2023'!$O$66),"")</f>
        <v/>
      </c>
      <c r="AK15" s="62" t="str">
        <f>IF(AND('Mapa Instituc Corrupc 2023'!$Y$67="Muy Alta",'Mapa Instituc Corrupc 2023'!$AA$67="Catastrófico"),CONCATENATE("R10C",'Mapa Instituc Corrupc 2023'!$O$67),"")</f>
        <v/>
      </c>
      <c r="AL15" s="62" t="str">
        <f>IF(AND('Mapa Instituc Corrupc 2023'!$Y$68="Muy Alta",'Mapa Instituc Corrupc 2023'!$AA$68="Catastrófico"),CONCATENATE("R10C",'Mapa Instituc Corrupc 2023'!$O$68),"")</f>
        <v/>
      </c>
      <c r="AM15" s="63" t="str">
        <f>IF(AND('Mapa Instituc Corrupc 2023'!$Y$69="Muy Alta",'Mapa Instituc Corrupc 2023'!$AA$69="Catastrófico"),CONCATENATE("R10C",'Mapa Instituc Corrupc 2023'!$O$69),"")</f>
        <v/>
      </c>
      <c r="AN15" s="83"/>
      <c r="AO15" s="491"/>
      <c r="AP15" s="492"/>
      <c r="AQ15" s="492"/>
      <c r="AR15" s="492"/>
      <c r="AS15" s="492"/>
      <c r="AT15" s="49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380"/>
      <c r="C16" s="380"/>
      <c r="D16" s="381"/>
      <c r="E16" s="477" t="s">
        <v>115</v>
      </c>
      <c r="F16" s="478"/>
      <c r="G16" s="478"/>
      <c r="H16" s="478"/>
      <c r="I16" s="478"/>
      <c r="J16" s="64" t="str">
        <f ca="1">IF(AND('Mapa Instituc Corrupc 2023'!$Y$10="Alta",'Mapa Instituc Corrupc 2023'!$AA$10="Leve"),CONCATENATE("R1C",'Mapa Instituc Corrupc 2023'!$O$10),"")</f>
        <v/>
      </c>
      <c r="K16" s="65" t="str">
        <f>IF(AND('Mapa Instituc Corrupc 2023'!$Y$11="Alta",'Mapa Instituc Corrupc 2023'!$AA$11="Leve"),CONCATENATE("R1C",'Mapa Instituc Corrupc 2023'!$O$11),"")</f>
        <v/>
      </c>
      <c r="L16" s="65" t="str">
        <f>IF(AND('Mapa Instituc Corrupc 2023'!$Y$12="Alta",'Mapa Instituc Corrupc 2023'!$AA$12="Leve"),CONCATENATE("R1C",'Mapa Instituc Corrupc 2023'!$O$12),"")</f>
        <v/>
      </c>
      <c r="M16" s="65" t="str">
        <f>IF(AND('Mapa Instituc Corrupc 2023'!$Y$13="Alta",'Mapa Instituc Corrupc 2023'!$AA$13="Leve"),CONCATENATE("R1C",'Mapa Instituc Corrupc 2023'!$O$13),"")</f>
        <v/>
      </c>
      <c r="N16" s="65" t="str">
        <f>IF(AND('Mapa Instituc Corrupc 2023'!$Y$14="Alta",'Mapa Instituc Corrupc 2023'!$AA$14="Leve"),CONCATENATE("R1C",'Mapa Instituc Corrupc 2023'!$O$14),"")</f>
        <v/>
      </c>
      <c r="O16" s="66" t="str">
        <f>IF(AND('Mapa Instituc Corrupc 2023'!$Y$15="Alta",'Mapa Instituc Corrupc 2023'!$AA$15="Leve"),CONCATENATE("R1C",'Mapa Instituc Corrupc 2023'!$O$15),"")</f>
        <v/>
      </c>
      <c r="P16" s="64" t="str">
        <f ca="1">IF(AND('Mapa Instituc Corrupc 2023'!$Y$10="Alta",'Mapa Instituc Corrupc 2023'!$AA$10="Menor"),CONCATENATE("R1C",'Mapa Instituc Corrupc 2023'!$O$10),"")</f>
        <v/>
      </c>
      <c r="Q16" s="65" t="str">
        <f>IF(AND('Mapa Instituc Corrupc 2023'!$Y$11="Alta",'Mapa Instituc Corrupc 2023'!$AA$11="Menor"),CONCATENATE("R1C",'Mapa Instituc Corrupc 2023'!$O$11),"")</f>
        <v/>
      </c>
      <c r="R16" s="65" t="str">
        <f>IF(AND('Mapa Instituc Corrupc 2023'!$Y$12="Alta",'Mapa Instituc Corrupc 2023'!$AA$12="Menor"),CONCATENATE("R1C",'Mapa Instituc Corrupc 2023'!$O$12),"")</f>
        <v/>
      </c>
      <c r="S16" s="65" t="str">
        <f>IF(AND('Mapa Instituc Corrupc 2023'!$Y$13="Alta",'Mapa Instituc Corrupc 2023'!$AA$13="Menor"),CONCATENATE("R1C",'Mapa Instituc Corrupc 2023'!$O$13),"")</f>
        <v/>
      </c>
      <c r="T16" s="65" t="str">
        <f>IF(AND('Mapa Instituc Corrupc 2023'!$Y$14="Alta",'Mapa Instituc Corrupc 2023'!$AA$14="Menor"),CONCATENATE("R1C",'Mapa Instituc Corrupc 2023'!$O$14),"")</f>
        <v/>
      </c>
      <c r="U16" s="66" t="str">
        <f>IF(AND('Mapa Instituc Corrupc 2023'!$Y$15="Alta",'Mapa Instituc Corrupc 2023'!$AA$15="Menor"),CONCATENATE("R1C",'Mapa Instituc Corrupc 2023'!$O$15),"")</f>
        <v/>
      </c>
      <c r="V16" s="45" t="str">
        <f ca="1">IF(AND('Mapa Instituc Corrupc 2023'!$Y$10="Alta",'Mapa Instituc Corrupc 2023'!$AA$10="Moderado"),CONCATENATE("R1C",'Mapa Instituc Corrupc 2023'!$O$10),"")</f>
        <v/>
      </c>
      <c r="W16" s="46" t="str">
        <f>IF(AND('Mapa Instituc Corrupc 2023'!$Y$11="Alta",'Mapa Instituc Corrupc 2023'!$AA$11="Moderado"),CONCATENATE("R1C",'Mapa Instituc Corrupc 2023'!$O$11),"")</f>
        <v/>
      </c>
      <c r="X16" s="46" t="str">
        <f>IF(AND('Mapa Instituc Corrupc 2023'!$Y$12="Alta",'Mapa Instituc Corrupc 2023'!$AA$12="Moderado"),CONCATENATE("R1C",'Mapa Instituc Corrupc 2023'!$O$12),"")</f>
        <v/>
      </c>
      <c r="Y16" s="46" t="str">
        <f>IF(AND('Mapa Instituc Corrupc 2023'!$Y$13="Alta",'Mapa Instituc Corrupc 2023'!$AA$13="Moderado"),CONCATENATE("R1C",'Mapa Instituc Corrupc 2023'!$O$13),"")</f>
        <v/>
      </c>
      <c r="Z16" s="46" t="str">
        <f>IF(AND('Mapa Instituc Corrupc 2023'!$Y$14="Alta",'Mapa Instituc Corrupc 2023'!$AA$14="Moderado"),CONCATENATE("R1C",'Mapa Instituc Corrupc 2023'!$O$14),"")</f>
        <v/>
      </c>
      <c r="AA16" s="47" t="str">
        <f>IF(AND('Mapa Instituc Corrupc 2023'!$Y$15="Alta",'Mapa Instituc Corrupc 2023'!$AA$15="Moderado"),CONCATENATE("R1C",'Mapa Instituc Corrupc 2023'!$O$15),"")</f>
        <v/>
      </c>
      <c r="AB16" s="45" t="str">
        <f ca="1">IF(AND('Mapa Instituc Corrupc 2023'!$Y$10="Alta",'Mapa Instituc Corrupc 2023'!$AA$10="Mayor"),CONCATENATE("R1C",'Mapa Instituc Corrupc 2023'!$O$10),"")</f>
        <v/>
      </c>
      <c r="AC16" s="46" t="str">
        <f>IF(AND('Mapa Instituc Corrupc 2023'!$Y$11="Alta",'Mapa Instituc Corrupc 2023'!$AA$11="Mayor"),CONCATENATE("R1C",'Mapa Instituc Corrupc 2023'!$O$11),"")</f>
        <v/>
      </c>
      <c r="AD16" s="46" t="str">
        <f>IF(AND('Mapa Instituc Corrupc 2023'!$Y$12="Alta",'Mapa Instituc Corrupc 2023'!$AA$12="Mayor"),CONCATENATE("R1C",'Mapa Instituc Corrupc 2023'!$O$12),"")</f>
        <v/>
      </c>
      <c r="AE16" s="46" t="str">
        <f>IF(AND('Mapa Instituc Corrupc 2023'!$Y$13="Alta",'Mapa Instituc Corrupc 2023'!$AA$13="Mayor"),CONCATENATE("R1C",'Mapa Instituc Corrupc 2023'!$O$13),"")</f>
        <v/>
      </c>
      <c r="AF16" s="46" t="str">
        <f>IF(AND('Mapa Instituc Corrupc 2023'!$Y$14="Alta",'Mapa Instituc Corrupc 2023'!$AA$14="Mayor"),CONCATENATE("R1C",'Mapa Instituc Corrupc 2023'!$O$14),"")</f>
        <v/>
      </c>
      <c r="AG16" s="47" t="str">
        <f>IF(AND('Mapa Instituc Corrupc 2023'!$Y$15="Alta",'Mapa Instituc Corrupc 2023'!$AA$15="Mayor"),CONCATENATE("R1C",'Mapa Instituc Corrupc 2023'!$O$15),"")</f>
        <v/>
      </c>
      <c r="AH16" s="48" t="str">
        <f ca="1">IF(AND('Mapa Instituc Corrupc 2023'!$Y$10="Alta",'Mapa Instituc Corrupc 2023'!$AA$10="Catastrófico"),CONCATENATE("R1C",'Mapa Instituc Corrupc 2023'!$O$10),"")</f>
        <v/>
      </c>
      <c r="AI16" s="49" t="str">
        <f>IF(AND('Mapa Instituc Corrupc 2023'!$Y$11="Alta",'Mapa Instituc Corrupc 2023'!$AA$11="Catastrófico"),CONCATENATE("R1C",'Mapa Instituc Corrupc 2023'!$O$11),"")</f>
        <v/>
      </c>
      <c r="AJ16" s="49" t="str">
        <f>IF(AND('Mapa Instituc Corrupc 2023'!$Y$12="Alta",'Mapa Instituc Corrupc 2023'!$AA$12="Catastrófico"),CONCATENATE("R1C",'Mapa Instituc Corrupc 2023'!$O$12),"")</f>
        <v/>
      </c>
      <c r="AK16" s="49" t="str">
        <f>IF(AND('Mapa Instituc Corrupc 2023'!$Y$13="Alta",'Mapa Instituc Corrupc 2023'!$AA$13="Catastrófico"),CONCATENATE("R1C",'Mapa Instituc Corrupc 2023'!$O$13),"")</f>
        <v/>
      </c>
      <c r="AL16" s="49" t="str">
        <f>IF(AND('Mapa Instituc Corrupc 2023'!$Y$14="Alta",'Mapa Instituc Corrupc 2023'!$AA$14="Catastrófico"),CONCATENATE("R1C",'Mapa Instituc Corrupc 2023'!$O$14),"")</f>
        <v/>
      </c>
      <c r="AM16" s="50" t="str">
        <f>IF(AND('Mapa Instituc Corrupc 2023'!$Y$15="Alta",'Mapa Instituc Corrupc 2023'!$AA$15="Catastrófico"),CONCATENATE("R1C",'Mapa Instituc Corrupc 2023'!$O$15),"")</f>
        <v/>
      </c>
      <c r="AN16" s="83"/>
      <c r="AO16" s="468" t="s">
        <v>80</v>
      </c>
      <c r="AP16" s="469"/>
      <c r="AQ16" s="469"/>
      <c r="AR16" s="469"/>
      <c r="AS16" s="469"/>
      <c r="AT16" s="47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380"/>
      <c r="C17" s="380"/>
      <c r="D17" s="381"/>
      <c r="E17" s="479"/>
      <c r="F17" s="480"/>
      <c r="G17" s="480"/>
      <c r="H17" s="480"/>
      <c r="I17" s="480"/>
      <c r="J17" s="67" t="str">
        <f ca="1">IF(AND('Mapa Instituc Corrupc 2023'!$Y$16="Alta",'Mapa Instituc Corrupc 2023'!$AA$16="Leve"),CONCATENATE("R2C",'Mapa Instituc Corrupc 2023'!$O$16),"")</f>
        <v/>
      </c>
      <c r="K17" s="68" t="str">
        <f>IF(AND('Mapa Instituc Corrupc 2023'!$Y$17="Alta",'Mapa Instituc Corrupc 2023'!$AA$17="Leve"),CONCATENATE("R2C",'Mapa Instituc Corrupc 2023'!$O$17),"")</f>
        <v/>
      </c>
      <c r="L17" s="68" t="str">
        <f>IF(AND('Mapa Instituc Corrupc 2023'!$Y$18="Alta",'Mapa Instituc Corrupc 2023'!$AA$18="Leve"),CONCATENATE("R2C",'Mapa Instituc Corrupc 2023'!$O$18),"")</f>
        <v/>
      </c>
      <c r="M17" s="68" t="str">
        <f>IF(AND('Mapa Instituc Corrupc 2023'!$Y$19="Alta",'Mapa Instituc Corrupc 2023'!$AA$19="Leve"),CONCATENATE("R2C",'Mapa Instituc Corrupc 2023'!$O$19),"")</f>
        <v/>
      </c>
      <c r="N17" s="68" t="str">
        <f>IF(AND('Mapa Instituc Corrupc 2023'!$Y$20="Alta",'Mapa Instituc Corrupc 2023'!$AA$20="Leve"),CONCATENATE("R2C",'Mapa Instituc Corrupc 2023'!$O$20),"")</f>
        <v/>
      </c>
      <c r="O17" s="69" t="str">
        <f>IF(AND('Mapa Instituc Corrupc 2023'!$Y$21="Alta",'Mapa Instituc Corrupc 2023'!$AA$21="Leve"),CONCATENATE("R2C",'Mapa Instituc Corrupc 2023'!$O$21),"")</f>
        <v/>
      </c>
      <c r="P17" s="67" t="str">
        <f ca="1">IF(AND('Mapa Instituc Corrupc 2023'!$Y$16="Alta",'Mapa Instituc Corrupc 2023'!$AA$16="Menor"),CONCATENATE("R2C",'Mapa Instituc Corrupc 2023'!$O$16),"")</f>
        <v/>
      </c>
      <c r="Q17" s="68" t="str">
        <f>IF(AND('Mapa Instituc Corrupc 2023'!$Y$17="Alta",'Mapa Instituc Corrupc 2023'!$AA$17="Menor"),CONCATENATE("R2C",'Mapa Instituc Corrupc 2023'!$O$17),"")</f>
        <v/>
      </c>
      <c r="R17" s="68" t="str">
        <f>IF(AND('Mapa Instituc Corrupc 2023'!$Y$18="Alta",'Mapa Instituc Corrupc 2023'!$AA$18="Menor"),CONCATENATE("R2C",'Mapa Instituc Corrupc 2023'!$O$18),"")</f>
        <v/>
      </c>
      <c r="S17" s="68" t="str">
        <f>IF(AND('Mapa Instituc Corrupc 2023'!$Y$19="Alta",'Mapa Instituc Corrupc 2023'!$AA$19="Menor"),CONCATENATE("R2C",'Mapa Instituc Corrupc 2023'!$O$19),"")</f>
        <v/>
      </c>
      <c r="T17" s="68" t="str">
        <f>IF(AND('Mapa Instituc Corrupc 2023'!$Y$20="Alta",'Mapa Instituc Corrupc 2023'!$AA$20="Menor"),CONCATENATE("R2C",'Mapa Instituc Corrupc 2023'!$O$20),"")</f>
        <v/>
      </c>
      <c r="U17" s="69" t="str">
        <f>IF(AND('Mapa Instituc Corrupc 2023'!$Y$21="Alta",'Mapa Instituc Corrupc 2023'!$AA$21="Menor"),CONCATENATE("R2C",'Mapa Instituc Corrupc 2023'!$O$21),"")</f>
        <v/>
      </c>
      <c r="V17" s="51" t="str">
        <f ca="1">IF(AND('Mapa Instituc Corrupc 2023'!$Y$16="Alta",'Mapa Instituc Corrupc 2023'!$AA$16="Moderado"),CONCATENATE("R2C",'Mapa Instituc Corrupc 2023'!$O$16),"")</f>
        <v/>
      </c>
      <c r="W17" s="52" t="str">
        <f>IF(AND('Mapa Instituc Corrupc 2023'!$Y$17="Alta",'Mapa Instituc Corrupc 2023'!$AA$17="Moderado"),CONCATENATE("R2C",'Mapa Instituc Corrupc 2023'!$O$17),"")</f>
        <v/>
      </c>
      <c r="X17" s="52" t="str">
        <f>IF(AND('Mapa Instituc Corrupc 2023'!$Y$18="Alta",'Mapa Instituc Corrupc 2023'!$AA$18="Moderado"),CONCATENATE("R2C",'Mapa Instituc Corrupc 2023'!$O$18),"")</f>
        <v/>
      </c>
      <c r="Y17" s="52" t="str">
        <f>IF(AND('Mapa Instituc Corrupc 2023'!$Y$19="Alta",'Mapa Instituc Corrupc 2023'!$AA$19="Moderado"),CONCATENATE("R2C",'Mapa Instituc Corrupc 2023'!$O$19),"")</f>
        <v/>
      </c>
      <c r="Z17" s="52" t="str">
        <f>IF(AND('Mapa Instituc Corrupc 2023'!$Y$20="Alta",'Mapa Instituc Corrupc 2023'!$AA$20="Moderado"),CONCATENATE("R2C",'Mapa Instituc Corrupc 2023'!$O$20),"")</f>
        <v/>
      </c>
      <c r="AA17" s="53" t="str">
        <f>IF(AND('Mapa Instituc Corrupc 2023'!$Y$21="Alta",'Mapa Instituc Corrupc 2023'!$AA$21="Moderado"),CONCATENATE("R2C",'Mapa Instituc Corrupc 2023'!$O$21),"")</f>
        <v/>
      </c>
      <c r="AB17" s="51" t="str">
        <f ca="1">IF(AND('Mapa Instituc Corrupc 2023'!$Y$16="Alta",'Mapa Instituc Corrupc 2023'!$AA$16="Mayor"),CONCATENATE("R2C",'Mapa Instituc Corrupc 2023'!$O$16),"")</f>
        <v/>
      </c>
      <c r="AC17" s="52" t="str">
        <f>IF(AND('Mapa Instituc Corrupc 2023'!$Y$17="Alta",'Mapa Instituc Corrupc 2023'!$AA$17="Mayor"),CONCATENATE("R2C",'Mapa Instituc Corrupc 2023'!$O$17),"")</f>
        <v/>
      </c>
      <c r="AD17" s="52" t="str">
        <f>IF(AND('Mapa Instituc Corrupc 2023'!$Y$18="Alta",'Mapa Instituc Corrupc 2023'!$AA$18="Mayor"),CONCATENATE("R2C",'Mapa Instituc Corrupc 2023'!$O$18),"")</f>
        <v/>
      </c>
      <c r="AE17" s="52" t="str">
        <f>IF(AND('Mapa Instituc Corrupc 2023'!$Y$19="Alta",'Mapa Instituc Corrupc 2023'!$AA$19="Mayor"),CONCATENATE("R2C",'Mapa Instituc Corrupc 2023'!$O$19),"")</f>
        <v/>
      </c>
      <c r="AF17" s="52" t="str">
        <f>IF(AND('Mapa Instituc Corrupc 2023'!$Y$20="Alta",'Mapa Instituc Corrupc 2023'!$AA$20="Mayor"),CONCATENATE("R2C",'Mapa Instituc Corrupc 2023'!$O$20),"")</f>
        <v/>
      </c>
      <c r="AG17" s="53" t="str">
        <f>IF(AND('Mapa Instituc Corrupc 2023'!$Y$21="Alta",'Mapa Instituc Corrupc 2023'!$AA$21="Mayor"),CONCATENATE("R2C",'Mapa Instituc Corrupc 2023'!$O$21),"")</f>
        <v/>
      </c>
      <c r="AH17" s="54" t="str">
        <f ca="1">IF(AND('Mapa Instituc Corrupc 2023'!$Y$16="Alta",'Mapa Instituc Corrupc 2023'!$AA$16="Catastrófico"),CONCATENATE("R2C",'Mapa Instituc Corrupc 2023'!$O$16),"")</f>
        <v/>
      </c>
      <c r="AI17" s="55" t="str">
        <f>IF(AND('Mapa Instituc Corrupc 2023'!$Y$17="Alta",'Mapa Instituc Corrupc 2023'!$AA$17="Catastrófico"),CONCATENATE("R2C",'Mapa Instituc Corrupc 2023'!$O$17),"")</f>
        <v/>
      </c>
      <c r="AJ17" s="55" t="str">
        <f>IF(AND('Mapa Instituc Corrupc 2023'!$Y$18="Alta",'Mapa Instituc Corrupc 2023'!$AA$18="Catastrófico"),CONCATENATE("R2C",'Mapa Instituc Corrupc 2023'!$O$18),"")</f>
        <v/>
      </c>
      <c r="AK17" s="55" t="str">
        <f>IF(AND('Mapa Instituc Corrupc 2023'!$Y$19="Alta",'Mapa Instituc Corrupc 2023'!$AA$19="Catastrófico"),CONCATENATE("R2C",'Mapa Instituc Corrupc 2023'!$O$19),"")</f>
        <v/>
      </c>
      <c r="AL17" s="55" t="str">
        <f>IF(AND('Mapa Instituc Corrupc 2023'!$Y$20="Alta",'Mapa Instituc Corrupc 2023'!$AA$20="Catastrófico"),CONCATENATE("R2C",'Mapa Instituc Corrupc 2023'!$O$20),"")</f>
        <v/>
      </c>
      <c r="AM17" s="56" t="str">
        <f>IF(AND('Mapa Instituc Corrupc 2023'!$Y$21="Alta",'Mapa Instituc Corrupc 2023'!$AA$21="Catastrófico"),CONCATENATE("R2C",'Mapa Instituc Corrupc 2023'!$O$21),"")</f>
        <v/>
      </c>
      <c r="AN17" s="83"/>
      <c r="AO17" s="471"/>
      <c r="AP17" s="472"/>
      <c r="AQ17" s="472"/>
      <c r="AR17" s="472"/>
      <c r="AS17" s="472"/>
      <c r="AT17" s="47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380"/>
      <c r="C18" s="380"/>
      <c r="D18" s="381"/>
      <c r="E18" s="481"/>
      <c r="F18" s="482"/>
      <c r="G18" s="482"/>
      <c r="H18" s="482"/>
      <c r="I18" s="480"/>
      <c r="J18" s="67" t="str">
        <f>IF(AND('Mapa Instituc Corrupc 2023'!$Y$22="Alta",'Mapa Instituc Corrupc 2023'!$AA$22="Leve"),CONCATENATE("R3C",'Mapa Instituc Corrupc 2023'!$O$22),"")</f>
        <v/>
      </c>
      <c r="K18" s="68" t="str">
        <f>IF(AND('Mapa Instituc Corrupc 2023'!$Y$23="Alta",'Mapa Instituc Corrupc 2023'!$AA$23="Leve"),CONCATENATE("R3C",'Mapa Instituc Corrupc 2023'!$O$23),"")</f>
        <v/>
      </c>
      <c r="L18" s="68" t="str">
        <f>IF(AND('Mapa Instituc Corrupc 2023'!$Y$24="Alta",'Mapa Instituc Corrupc 2023'!$AA$24="Leve"),CONCATENATE("R3C",'Mapa Instituc Corrupc 2023'!$O$24),"")</f>
        <v/>
      </c>
      <c r="M18" s="68" t="str">
        <f>IF(AND('Mapa Instituc Corrupc 2023'!$Y$25="Alta",'Mapa Instituc Corrupc 2023'!$AA$25="Leve"),CONCATENATE("R3C",'Mapa Instituc Corrupc 2023'!$O$25),"")</f>
        <v/>
      </c>
      <c r="N18" s="68" t="str">
        <f>IF(AND('Mapa Instituc Corrupc 2023'!$Y$26="Alta",'Mapa Instituc Corrupc 2023'!$AA$26="Leve"),CONCATENATE("R3C",'Mapa Instituc Corrupc 2023'!$O$26),"")</f>
        <v/>
      </c>
      <c r="O18" s="69" t="str">
        <f>IF(AND('Mapa Instituc Corrupc 2023'!$Y$27="Alta",'Mapa Instituc Corrupc 2023'!$AA$27="Leve"),CONCATENATE("R3C",'Mapa Instituc Corrupc 2023'!$O$27),"")</f>
        <v/>
      </c>
      <c r="P18" s="67" t="str">
        <f>IF(AND('Mapa Instituc Corrupc 2023'!$Y$22="Alta",'Mapa Instituc Corrupc 2023'!$AA$22="Menor"),CONCATENATE("R3C",'Mapa Instituc Corrupc 2023'!$O$22),"")</f>
        <v/>
      </c>
      <c r="Q18" s="68" t="str">
        <f>IF(AND('Mapa Instituc Corrupc 2023'!$Y$23="Alta",'Mapa Instituc Corrupc 2023'!$AA$23="Menor"),CONCATENATE("R3C",'Mapa Instituc Corrupc 2023'!$O$23),"")</f>
        <v/>
      </c>
      <c r="R18" s="68" t="str">
        <f>IF(AND('Mapa Instituc Corrupc 2023'!$Y$24="Alta",'Mapa Instituc Corrupc 2023'!$AA$24="Menor"),CONCATENATE("R3C",'Mapa Instituc Corrupc 2023'!$O$24),"")</f>
        <v/>
      </c>
      <c r="S18" s="68" t="str">
        <f>IF(AND('Mapa Instituc Corrupc 2023'!$Y$25="Alta",'Mapa Instituc Corrupc 2023'!$AA$25="Menor"),CONCATENATE("R3C",'Mapa Instituc Corrupc 2023'!$O$25),"")</f>
        <v/>
      </c>
      <c r="T18" s="68" t="str">
        <f>IF(AND('Mapa Instituc Corrupc 2023'!$Y$26="Alta",'Mapa Instituc Corrupc 2023'!$AA$26="Menor"),CONCATENATE("R3C",'Mapa Instituc Corrupc 2023'!$O$26),"")</f>
        <v/>
      </c>
      <c r="U18" s="69" t="str">
        <f>IF(AND('Mapa Instituc Corrupc 2023'!$Y$27="Alta",'Mapa Instituc Corrupc 2023'!$AA$27="Menor"),CONCATENATE("R3C",'Mapa Instituc Corrupc 2023'!$O$27),"")</f>
        <v/>
      </c>
      <c r="V18" s="51" t="str">
        <f>IF(AND('Mapa Instituc Corrupc 2023'!$Y$22="Alta",'Mapa Instituc Corrupc 2023'!$AA$22="Moderado"),CONCATENATE("R3C",'Mapa Instituc Corrupc 2023'!$O$22),"")</f>
        <v/>
      </c>
      <c r="W18" s="52" t="str">
        <f>IF(AND('Mapa Instituc Corrupc 2023'!$Y$23="Alta",'Mapa Instituc Corrupc 2023'!$AA$23="Moderado"),CONCATENATE("R3C",'Mapa Instituc Corrupc 2023'!$O$23),"")</f>
        <v/>
      </c>
      <c r="X18" s="52" t="str">
        <f>IF(AND('Mapa Instituc Corrupc 2023'!$Y$24="Alta",'Mapa Instituc Corrupc 2023'!$AA$24="Moderado"),CONCATENATE("R3C",'Mapa Instituc Corrupc 2023'!$O$24),"")</f>
        <v/>
      </c>
      <c r="Y18" s="52" t="str">
        <f>IF(AND('Mapa Instituc Corrupc 2023'!$Y$25="Alta",'Mapa Instituc Corrupc 2023'!$AA$25="Moderado"),CONCATENATE("R3C",'Mapa Instituc Corrupc 2023'!$O$25),"")</f>
        <v/>
      </c>
      <c r="Z18" s="52" t="str">
        <f>IF(AND('Mapa Instituc Corrupc 2023'!$Y$26="Alta",'Mapa Instituc Corrupc 2023'!$AA$26="Moderado"),CONCATENATE("R3C",'Mapa Instituc Corrupc 2023'!$O$26),"")</f>
        <v/>
      </c>
      <c r="AA18" s="53" t="str">
        <f>IF(AND('Mapa Instituc Corrupc 2023'!$Y$27="Alta",'Mapa Instituc Corrupc 2023'!$AA$27="Moderado"),CONCATENATE("R3C",'Mapa Instituc Corrupc 2023'!$O$27),"")</f>
        <v/>
      </c>
      <c r="AB18" s="51" t="str">
        <f>IF(AND('Mapa Instituc Corrupc 2023'!$Y$22="Alta",'Mapa Instituc Corrupc 2023'!$AA$22="Mayor"),CONCATENATE("R3C",'Mapa Instituc Corrupc 2023'!$O$22),"")</f>
        <v/>
      </c>
      <c r="AC18" s="52" t="str">
        <f>IF(AND('Mapa Instituc Corrupc 2023'!$Y$23="Alta",'Mapa Instituc Corrupc 2023'!$AA$23="Mayor"),CONCATENATE("R3C",'Mapa Instituc Corrupc 2023'!$O$23),"")</f>
        <v/>
      </c>
      <c r="AD18" s="52" t="str">
        <f>IF(AND('Mapa Instituc Corrupc 2023'!$Y$24="Alta",'Mapa Instituc Corrupc 2023'!$AA$24="Mayor"),CONCATENATE("R3C",'Mapa Instituc Corrupc 2023'!$O$24),"")</f>
        <v/>
      </c>
      <c r="AE18" s="52" t="str">
        <f>IF(AND('Mapa Instituc Corrupc 2023'!$Y$25="Alta",'Mapa Instituc Corrupc 2023'!$AA$25="Mayor"),CONCATENATE("R3C",'Mapa Instituc Corrupc 2023'!$O$25),"")</f>
        <v/>
      </c>
      <c r="AF18" s="52" t="str">
        <f>IF(AND('Mapa Instituc Corrupc 2023'!$Y$26="Alta",'Mapa Instituc Corrupc 2023'!$AA$26="Mayor"),CONCATENATE("R3C",'Mapa Instituc Corrupc 2023'!$O$26),"")</f>
        <v/>
      </c>
      <c r="AG18" s="53" t="str">
        <f>IF(AND('Mapa Instituc Corrupc 2023'!$Y$27="Alta",'Mapa Instituc Corrupc 2023'!$AA$27="Mayor"),CONCATENATE("R3C",'Mapa Instituc Corrupc 2023'!$O$27),"")</f>
        <v/>
      </c>
      <c r="AH18" s="54" t="str">
        <f>IF(AND('Mapa Instituc Corrupc 2023'!$Y$22="Alta",'Mapa Instituc Corrupc 2023'!$AA$22="Catastrófico"),CONCATENATE("R3C",'Mapa Instituc Corrupc 2023'!$O$22),"")</f>
        <v/>
      </c>
      <c r="AI18" s="55" t="str">
        <f>IF(AND('Mapa Instituc Corrupc 2023'!$Y$23="Alta",'Mapa Instituc Corrupc 2023'!$AA$23="Catastrófico"),CONCATENATE("R3C",'Mapa Instituc Corrupc 2023'!$O$23),"")</f>
        <v/>
      </c>
      <c r="AJ18" s="55" t="str">
        <f>IF(AND('Mapa Instituc Corrupc 2023'!$Y$24="Alta",'Mapa Instituc Corrupc 2023'!$AA$24="Catastrófico"),CONCATENATE("R3C",'Mapa Instituc Corrupc 2023'!$O$24),"")</f>
        <v/>
      </c>
      <c r="AK18" s="55" t="str">
        <f>IF(AND('Mapa Instituc Corrupc 2023'!$Y$25="Alta",'Mapa Instituc Corrupc 2023'!$AA$25="Catastrófico"),CONCATENATE("R3C",'Mapa Instituc Corrupc 2023'!$O$25),"")</f>
        <v/>
      </c>
      <c r="AL18" s="55" t="str">
        <f>IF(AND('Mapa Instituc Corrupc 2023'!$Y$26="Alta",'Mapa Instituc Corrupc 2023'!$AA$26="Catastrófico"),CONCATENATE("R3C",'Mapa Instituc Corrupc 2023'!$O$26),"")</f>
        <v/>
      </c>
      <c r="AM18" s="56" t="str">
        <f>IF(AND('Mapa Instituc Corrupc 2023'!$Y$27="Alta",'Mapa Instituc Corrupc 2023'!$AA$27="Catastrófico"),CONCATENATE("R3C",'Mapa Instituc Corrupc 2023'!$O$27),"")</f>
        <v/>
      </c>
      <c r="AN18" s="83"/>
      <c r="AO18" s="471"/>
      <c r="AP18" s="472"/>
      <c r="AQ18" s="472"/>
      <c r="AR18" s="472"/>
      <c r="AS18" s="472"/>
      <c r="AT18" s="47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380"/>
      <c r="C19" s="380"/>
      <c r="D19" s="381"/>
      <c r="E19" s="481"/>
      <c r="F19" s="482"/>
      <c r="G19" s="482"/>
      <c r="H19" s="482"/>
      <c r="I19" s="480"/>
      <c r="J19" s="67" t="str">
        <f>IF(AND('Mapa Instituc Corrupc 2023'!$Y$28="Alta",'Mapa Instituc Corrupc 2023'!$AA$28="Leve"),CONCATENATE("R4C",'Mapa Instituc Corrupc 2023'!$O$28),"")</f>
        <v/>
      </c>
      <c r="K19" s="68" t="str">
        <f>IF(AND('Mapa Instituc Corrupc 2023'!$Y$29="Alta",'Mapa Instituc Corrupc 2023'!$AA$29="Leve"),CONCATENATE("R4C",'Mapa Instituc Corrupc 2023'!$O$29),"")</f>
        <v/>
      </c>
      <c r="L19" s="68" t="str">
        <f>IF(AND('Mapa Instituc Corrupc 2023'!$Y$30="Alta",'Mapa Instituc Corrupc 2023'!$AA$30="Leve"),CONCATENATE("R4C",'Mapa Instituc Corrupc 2023'!$O$30),"")</f>
        <v/>
      </c>
      <c r="M19" s="68" t="str">
        <f>IF(AND('Mapa Instituc Corrupc 2023'!$Y$31="Alta",'Mapa Instituc Corrupc 2023'!$AA$31="Leve"),CONCATENATE("R4C",'Mapa Instituc Corrupc 2023'!$O$31),"")</f>
        <v/>
      </c>
      <c r="N19" s="68" t="str">
        <f>IF(AND('Mapa Instituc Corrupc 2023'!$Y$32="Alta",'Mapa Instituc Corrupc 2023'!$AA$32="Leve"),CONCATENATE("R4C",'Mapa Instituc Corrupc 2023'!$O$32),"")</f>
        <v/>
      </c>
      <c r="O19" s="69" t="str">
        <f>IF(AND('Mapa Instituc Corrupc 2023'!$Y$33="Alta",'Mapa Instituc Corrupc 2023'!$AA$33="Leve"),CONCATENATE("R4C",'Mapa Instituc Corrupc 2023'!$O$33),"")</f>
        <v/>
      </c>
      <c r="P19" s="67" t="str">
        <f>IF(AND('Mapa Instituc Corrupc 2023'!$Y$28="Alta",'Mapa Instituc Corrupc 2023'!$AA$28="Menor"),CONCATENATE("R4C",'Mapa Instituc Corrupc 2023'!$O$28),"")</f>
        <v/>
      </c>
      <c r="Q19" s="68" t="str">
        <f>IF(AND('Mapa Instituc Corrupc 2023'!$Y$29="Alta",'Mapa Instituc Corrupc 2023'!$AA$29="Menor"),CONCATENATE("R4C",'Mapa Instituc Corrupc 2023'!$O$29),"")</f>
        <v/>
      </c>
      <c r="R19" s="68" t="str">
        <f>IF(AND('Mapa Instituc Corrupc 2023'!$Y$30="Alta",'Mapa Instituc Corrupc 2023'!$AA$30="Menor"),CONCATENATE("R4C",'Mapa Instituc Corrupc 2023'!$O$30),"")</f>
        <v/>
      </c>
      <c r="S19" s="68" t="str">
        <f>IF(AND('Mapa Instituc Corrupc 2023'!$Y$31="Alta",'Mapa Instituc Corrupc 2023'!$AA$31="Menor"),CONCATENATE("R4C",'Mapa Instituc Corrupc 2023'!$O$31),"")</f>
        <v/>
      </c>
      <c r="T19" s="68" t="str">
        <f>IF(AND('Mapa Instituc Corrupc 2023'!$Y$32="Alta",'Mapa Instituc Corrupc 2023'!$AA$32="Menor"),CONCATENATE("R4C",'Mapa Instituc Corrupc 2023'!$O$32),"")</f>
        <v/>
      </c>
      <c r="U19" s="69" t="str">
        <f>IF(AND('Mapa Instituc Corrupc 2023'!$Y$33="Alta",'Mapa Instituc Corrupc 2023'!$AA$33="Menor"),CONCATENATE("R4C",'Mapa Instituc Corrupc 2023'!$O$33),"")</f>
        <v/>
      </c>
      <c r="V19" s="51" t="str">
        <f>IF(AND('Mapa Instituc Corrupc 2023'!$Y$28="Alta",'Mapa Instituc Corrupc 2023'!$AA$28="Moderado"),CONCATENATE("R4C",'Mapa Instituc Corrupc 2023'!$O$28),"")</f>
        <v/>
      </c>
      <c r="W19" s="52" t="str">
        <f>IF(AND('Mapa Instituc Corrupc 2023'!$Y$29="Alta",'Mapa Instituc Corrupc 2023'!$AA$29="Moderado"),CONCATENATE("R4C",'Mapa Instituc Corrupc 2023'!$O$29),"")</f>
        <v/>
      </c>
      <c r="X19" s="57" t="str">
        <f>IF(AND('Mapa Instituc Corrupc 2023'!$Y$30="Alta",'Mapa Instituc Corrupc 2023'!$AA$30="Moderado"),CONCATENATE("R4C",'Mapa Instituc Corrupc 2023'!$O$30),"")</f>
        <v/>
      </c>
      <c r="Y19" s="57" t="str">
        <f>IF(AND('Mapa Instituc Corrupc 2023'!$Y$31="Alta",'Mapa Instituc Corrupc 2023'!$AA$31="Moderado"),CONCATENATE("R4C",'Mapa Instituc Corrupc 2023'!$O$31),"")</f>
        <v/>
      </c>
      <c r="Z19" s="57" t="str">
        <f>IF(AND('Mapa Instituc Corrupc 2023'!$Y$32="Alta",'Mapa Instituc Corrupc 2023'!$AA$32="Moderado"),CONCATENATE("R4C",'Mapa Instituc Corrupc 2023'!$O$32),"")</f>
        <v/>
      </c>
      <c r="AA19" s="53" t="str">
        <f>IF(AND('Mapa Instituc Corrupc 2023'!$Y$33="Alta",'Mapa Instituc Corrupc 2023'!$AA$33="Moderado"),CONCATENATE("R4C",'Mapa Instituc Corrupc 2023'!$O$33),"")</f>
        <v/>
      </c>
      <c r="AB19" s="51" t="str">
        <f>IF(AND('Mapa Instituc Corrupc 2023'!$Y$28="Alta",'Mapa Instituc Corrupc 2023'!$AA$28="Mayor"),CONCATENATE("R4C",'Mapa Instituc Corrupc 2023'!$O$28),"")</f>
        <v/>
      </c>
      <c r="AC19" s="52" t="str">
        <f>IF(AND('Mapa Instituc Corrupc 2023'!$Y$29="Alta",'Mapa Instituc Corrupc 2023'!$AA$29="Mayor"),CONCATENATE("R4C",'Mapa Instituc Corrupc 2023'!$O$29),"")</f>
        <v/>
      </c>
      <c r="AD19" s="57" t="str">
        <f>IF(AND('Mapa Instituc Corrupc 2023'!$Y$30="Alta",'Mapa Instituc Corrupc 2023'!$AA$30="Mayor"),CONCATENATE("R4C",'Mapa Instituc Corrupc 2023'!$O$30),"")</f>
        <v/>
      </c>
      <c r="AE19" s="57" t="str">
        <f>IF(AND('Mapa Instituc Corrupc 2023'!$Y$31="Alta",'Mapa Instituc Corrupc 2023'!$AA$31="Mayor"),CONCATENATE("R4C",'Mapa Instituc Corrupc 2023'!$O$31),"")</f>
        <v/>
      </c>
      <c r="AF19" s="57" t="str">
        <f>IF(AND('Mapa Instituc Corrupc 2023'!$Y$32="Alta",'Mapa Instituc Corrupc 2023'!$AA$32="Mayor"),CONCATENATE("R4C",'Mapa Instituc Corrupc 2023'!$O$32),"")</f>
        <v/>
      </c>
      <c r="AG19" s="53" t="str">
        <f>IF(AND('Mapa Instituc Corrupc 2023'!$Y$33="Alta",'Mapa Instituc Corrupc 2023'!$AA$33="Mayor"),CONCATENATE("R4C",'Mapa Instituc Corrupc 2023'!$O$33),"")</f>
        <v/>
      </c>
      <c r="AH19" s="54" t="str">
        <f>IF(AND('Mapa Instituc Corrupc 2023'!$Y$28="Alta",'Mapa Instituc Corrupc 2023'!$AA$28="Catastrófico"),CONCATENATE("R4C",'Mapa Instituc Corrupc 2023'!$O$28),"")</f>
        <v/>
      </c>
      <c r="AI19" s="55" t="str">
        <f>IF(AND('Mapa Instituc Corrupc 2023'!$Y$29="Alta",'Mapa Instituc Corrupc 2023'!$AA$29="Catastrófico"),CONCATENATE("R4C",'Mapa Instituc Corrupc 2023'!$O$29),"")</f>
        <v/>
      </c>
      <c r="AJ19" s="55" t="str">
        <f>IF(AND('Mapa Instituc Corrupc 2023'!$Y$30="Alta",'Mapa Instituc Corrupc 2023'!$AA$30="Catastrófico"),CONCATENATE("R4C",'Mapa Instituc Corrupc 2023'!$O$30),"")</f>
        <v/>
      </c>
      <c r="AK19" s="55" t="str">
        <f>IF(AND('Mapa Instituc Corrupc 2023'!$Y$31="Alta",'Mapa Instituc Corrupc 2023'!$AA$31="Catastrófico"),CONCATENATE("R4C",'Mapa Instituc Corrupc 2023'!$O$31),"")</f>
        <v/>
      </c>
      <c r="AL19" s="55" t="str">
        <f>IF(AND('Mapa Instituc Corrupc 2023'!$Y$32="Alta",'Mapa Instituc Corrupc 2023'!$AA$32="Catastrófico"),CONCATENATE("R4C",'Mapa Instituc Corrupc 2023'!$O$32),"")</f>
        <v/>
      </c>
      <c r="AM19" s="56" t="str">
        <f>IF(AND('Mapa Instituc Corrupc 2023'!$Y$33="Alta",'Mapa Instituc Corrupc 2023'!$AA$33="Catastrófico"),CONCATENATE("R4C",'Mapa Instituc Corrupc 2023'!$O$33),"")</f>
        <v/>
      </c>
      <c r="AN19" s="83"/>
      <c r="AO19" s="471"/>
      <c r="AP19" s="472"/>
      <c r="AQ19" s="472"/>
      <c r="AR19" s="472"/>
      <c r="AS19" s="472"/>
      <c r="AT19" s="47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380"/>
      <c r="C20" s="380"/>
      <c r="D20" s="381"/>
      <c r="E20" s="481"/>
      <c r="F20" s="482"/>
      <c r="G20" s="482"/>
      <c r="H20" s="482"/>
      <c r="I20" s="480"/>
      <c r="J20" s="67" t="str">
        <f>IF(AND('Mapa Instituc Corrupc 2023'!$Y$34="Alta",'Mapa Instituc Corrupc 2023'!$AA$34="Leve"),CONCATENATE("R5C",'Mapa Instituc Corrupc 2023'!$O$34),"")</f>
        <v/>
      </c>
      <c r="K20" s="68" t="str">
        <f>IF(AND('Mapa Instituc Corrupc 2023'!$Y$35="Alta",'Mapa Instituc Corrupc 2023'!$AA$35="Leve"),CONCATENATE("R5C",'Mapa Instituc Corrupc 2023'!$O$35),"")</f>
        <v/>
      </c>
      <c r="L20" s="68" t="str">
        <f>IF(AND('Mapa Instituc Corrupc 2023'!$Y$36="Alta",'Mapa Instituc Corrupc 2023'!$AA$36="Leve"),CONCATENATE("R5C",'Mapa Instituc Corrupc 2023'!$O$36),"")</f>
        <v/>
      </c>
      <c r="M20" s="68" t="str">
        <f>IF(AND('Mapa Instituc Corrupc 2023'!$Y$37="Alta",'Mapa Instituc Corrupc 2023'!$AA$37="Leve"),CONCATENATE("R5C",'Mapa Instituc Corrupc 2023'!$O$37),"")</f>
        <v/>
      </c>
      <c r="N20" s="68" t="str">
        <f>IF(AND('Mapa Instituc Corrupc 2023'!$Y$38="Alta",'Mapa Instituc Corrupc 2023'!$AA$38="Leve"),CONCATENATE("R5C",'Mapa Instituc Corrupc 2023'!$O$38),"")</f>
        <v/>
      </c>
      <c r="O20" s="69" t="str">
        <f>IF(AND('Mapa Instituc Corrupc 2023'!$Y$39="Alta",'Mapa Instituc Corrupc 2023'!$AA$39="Leve"),CONCATENATE("R5C",'Mapa Instituc Corrupc 2023'!$O$39),"")</f>
        <v/>
      </c>
      <c r="P20" s="67" t="str">
        <f>IF(AND('Mapa Instituc Corrupc 2023'!$Y$34="Alta",'Mapa Instituc Corrupc 2023'!$AA$34="Menor"),CONCATENATE("R5C",'Mapa Instituc Corrupc 2023'!$O$34),"")</f>
        <v/>
      </c>
      <c r="Q20" s="68" t="str">
        <f>IF(AND('Mapa Instituc Corrupc 2023'!$Y$35="Alta",'Mapa Instituc Corrupc 2023'!$AA$35="Menor"),CONCATENATE("R5C",'Mapa Instituc Corrupc 2023'!$O$35),"")</f>
        <v/>
      </c>
      <c r="R20" s="68" t="str">
        <f>IF(AND('Mapa Instituc Corrupc 2023'!$Y$36="Alta",'Mapa Instituc Corrupc 2023'!$AA$36="Menor"),CONCATENATE("R5C",'Mapa Instituc Corrupc 2023'!$O$36),"")</f>
        <v/>
      </c>
      <c r="S20" s="68" t="str">
        <f>IF(AND('Mapa Instituc Corrupc 2023'!$Y$37="Alta",'Mapa Instituc Corrupc 2023'!$AA$37="Menor"),CONCATENATE("R5C",'Mapa Instituc Corrupc 2023'!$O$37),"")</f>
        <v/>
      </c>
      <c r="T20" s="68" t="str">
        <f>IF(AND('Mapa Instituc Corrupc 2023'!$Y$38="Alta",'Mapa Instituc Corrupc 2023'!$AA$38="Menor"),CONCATENATE("R5C",'Mapa Instituc Corrupc 2023'!$O$38),"")</f>
        <v/>
      </c>
      <c r="U20" s="69" t="str">
        <f>IF(AND('Mapa Instituc Corrupc 2023'!$Y$39="Alta",'Mapa Instituc Corrupc 2023'!$AA$39="Menor"),CONCATENATE("R5C",'Mapa Instituc Corrupc 2023'!$O$39),"")</f>
        <v/>
      </c>
      <c r="V20" s="51" t="str">
        <f>IF(AND('Mapa Instituc Corrupc 2023'!$Y$34="Alta",'Mapa Instituc Corrupc 2023'!$AA$34="Moderado"),CONCATENATE("R5C",'Mapa Instituc Corrupc 2023'!$O$34),"")</f>
        <v/>
      </c>
      <c r="W20" s="52" t="str">
        <f>IF(AND('Mapa Instituc Corrupc 2023'!$Y$35="Alta",'Mapa Instituc Corrupc 2023'!$AA$35="Moderado"),CONCATENATE("R5C",'Mapa Instituc Corrupc 2023'!$O$35),"")</f>
        <v/>
      </c>
      <c r="X20" s="57" t="str">
        <f>IF(AND('Mapa Instituc Corrupc 2023'!$Y$36="Alta",'Mapa Instituc Corrupc 2023'!$AA$36="Moderado"),CONCATENATE("R5C",'Mapa Instituc Corrupc 2023'!$O$36),"")</f>
        <v/>
      </c>
      <c r="Y20" s="57" t="str">
        <f>IF(AND('Mapa Instituc Corrupc 2023'!$Y$37="Alta",'Mapa Instituc Corrupc 2023'!$AA$37="Moderado"),CONCATENATE("R5C",'Mapa Instituc Corrupc 2023'!$O$37),"")</f>
        <v/>
      </c>
      <c r="Z20" s="57" t="str">
        <f>IF(AND('Mapa Instituc Corrupc 2023'!$Y$38="Alta",'Mapa Instituc Corrupc 2023'!$AA$38="Moderado"),CONCATENATE("R5C",'Mapa Instituc Corrupc 2023'!$O$38),"")</f>
        <v/>
      </c>
      <c r="AA20" s="53" t="str">
        <f>IF(AND('Mapa Instituc Corrupc 2023'!$Y$39="Alta",'Mapa Instituc Corrupc 2023'!$AA$39="Moderado"),CONCATENATE("R5C",'Mapa Instituc Corrupc 2023'!$O$39),"")</f>
        <v/>
      </c>
      <c r="AB20" s="51" t="str">
        <f>IF(AND('Mapa Instituc Corrupc 2023'!$Y$34="Alta",'Mapa Instituc Corrupc 2023'!$AA$34="Mayor"),CONCATENATE("R5C",'Mapa Instituc Corrupc 2023'!$O$34),"")</f>
        <v/>
      </c>
      <c r="AC20" s="52" t="str">
        <f>IF(AND('Mapa Instituc Corrupc 2023'!$Y$35="Alta",'Mapa Instituc Corrupc 2023'!$AA$35="Mayor"),CONCATENATE("R5C",'Mapa Instituc Corrupc 2023'!$O$35),"")</f>
        <v/>
      </c>
      <c r="AD20" s="57" t="str">
        <f>IF(AND('Mapa Instituc Corrupc 2023'!$Y$36="Alta",'Mapa Instituc Corrupc 2023'!$AA$36="Mayor"),CONCATENATE("R5C",'Mapa Instituc Corrupc 2023'!$O$36),"")</f>
        <v/>
      </c>
      <c r="AE20" s="57" t="str">
        <f>IF(AND('Mapa Instituc Corrupc 2023'!$Y$37="Alta",'Mapa Instituc Corrupc 2023'!$AA$37="Mayor"),CONCATENATE("R5C",'Mapa Instituc Corrupc 2023'!$O$37),"")</f>
        <v/>
      </c>
      <c r="AF20" s="57" t="str">
        <f>IF(AND('Mapa Instituc Corrupc 2023'!$Y$38="Alta",'Mapa Instituc Corrupc 2023'!$AA$38="Mayor"),CONCATENATE("R5C",'Mapa Instituc Corrupc 2023'!$O$38),"")</f>
        <v/>
      </c>
      <c r="AG20" s="53" t="str">
        <f>IF(AND('Mapa Instituc Corrupc 2023'!$Y$39="Alta",'Mapa Instituc Corrupc 2023'!$AA$39="Mayor"),CONCATENATE("R5C",'Mapa Instituc Corrupc 2023'!$O$39),"")</f>
        <v/>
      </c>
      <c r="AH20" s="54" t="str">
        <f>IF(AND('Mapa Instituc Corrupc 2023'!$Y$34="Alta",'Mapa Instituc Corrupc 2023'!$AA$34="Catastrófico"),CONCATENATE("R5C",'Mapa Instituc Corrupc 2023'!$O$34),"")</f>
        <v/>
      </c>
      <c r="AI20" s="55" t="str">
        <f>IF(AND('Mapa Instituc Corrupc 2023'!$Y$35="Alta",'Mapa Instituc Corrupc 2023'!$AA$35="Catastrófico"),CONCATENATE("R5C",'Mapa Instituc Corrupc 2023'!$O$35),"")</f>
        <v/>
      </c>
      <c r="AJ20" s="55" t="str">
        <f>IF(AND('Mapa Instituc Corrupc 2023'!$Y$36="Alta",'Mapa Instituc Corrupc 2023'!$AA$36="Catastrófico"),CONCATENATE("R5C",'Mapa Instituc Corrupc 2023'!$O$36),"")</f>
        <v/>
      </c>
      <c r="AK20" s="55" t="str">
        <f>IF(AND('Mapa Instituc Corrupc 2023'!$Y$37="Alta",'Mapa Instituc Corrupc 2023'!$AA$37="Catastrófico"),CONCATENATE("R5C",'Mapa Instituc Corrupc 2023'!$O$37),"")</f>
        <v/>
      </c>
      <c r="AL20" s="55" t="str">
        <f>IF(AND('Mapa Instituc Corrupc 2023'!$Y$38="Alta",'Mapa Instituc Corrupc 2023'!$AA$38="Catastrófico"),CONCATENATE("R5C",'Mapa Instituc Corrupc 2023'!$O$38),"")</f>
        <v/>
      </c>
      <c r="AM20" s="56" t="str">
        <f>IF(AND('Mapa Instituc Corrupc 2023'!$Y$39="Alta",'Mapa Instituc Corrupc 2023'!$AA$39="Catastrófico"),CONCATENATE("R5C",'Mapa Instituc Corrupc 2023'!$O$39),"")</f>
        <v/>
      </c>
      <c r="AN20" s="83"/>
      <c r="AO20" s="471"/>
      <c r="AP20" s="472"/>
      <c r="AQ20" s="472"/>
      <c r="AR20" s="472"/>
      <c r="AS20" s="472"/>
      <c r="AT20" s="47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380"/>
      <c r="C21" s="380"/>
      <c r="D21" s="381"/>
      <c r="E21" s="481"/>
      <c r="F21" s="482"/>
      <c r="G21" s="482"/>
      <c r="H21" s="482"/>
      <c r="I21" s="480"/>
      <c r="J21" s="67" t="str">
        <f>IF(AND('Mapa Instituc Corrupc 2023'!$Y$40="Alta",'Mapa Instituc Corrupc 2023'!$AA$40="Leve"),CONCATENATE("R6C",'Mapa Instituc Corrupc 2023'!$O$40),"")</f>
        <v/>
      </c>
      <c r="K21" s="68" t="str">
        <f>IF(AND('Mapa Instituc Corrupc 2023'!$Y$41="Alta",'Mapa Instituc Corrupc 2023'!$AA$41="Leve"),CONCATENATE("R6C",'Mapa Instituc Corrupc 2023'!$O$41),"")</f>
        <v/>
      </c>
      <c r="L21" s="68" t="str">
        <f>IF(AND('Mapa Instituc Corrupc 2023'!$Y$42="Alta",'Mapa Instituc Corrupc 2023'!$AA$42="Leve"),CONCATENATE("R6C",'Mapa Instituc Corrupc 2023'!$O$42),"")</f>
        <v/>
      </c>
      <c r="M21" s="68" t="str">
        <f>IF(AND('Mapa Instituc Corrupc 2023'!$Y$43="Alta",'Mapa Instituc Corrupc 2023'!$AA$43="Leve"),CONCATENATE("R6C",'Mapa Instituc Corrupc 2023'!$O$43),"")</f>
        <v/>
      </c>
      <c r="N21" s="68" t="str">
        <f>IF(AND('Mapa Instituc Corrupc 2023'!$Y$44="Alta",'Mapa Instituc Corrupc 2023'!$AA$44="Leve"),CONCATENATE("R6C",'Mapa Instituc Corrupc 2023'!$O$44),"")</f>
        <v/>
      </c>
      <c r="O21" s="69" t="str">
        <f>IF(AND('Mapa Instituc Corrupc 2023'!$Y$45="Alta",'Mapa Instituc Corrupc 2023'!$AA$45="Leve"),CONCATENATE("R6C",'Mapa Instituc Corrupc 2023'!$O$45),"")</f>
        <v/>
      </c>
      <c r="P21" s="67" t="str">
        <f>IF(AND('Mapa Instituc Corrupc 2023'!$Y$40="Alta",'Mapa Instituc Corrupc 2023'!$AA$40="Menor"),CONCATENATE("R6C",'Mapa Instituc Corrupc 2023'!$O$40),"")</f>
        <v/>
      </c>
      <c r="Q21" s="68" t="str">
        <f>IF(AND('Mapa Instituc Corrupc 2023'!$Y$41="Alta",'Mapa Instituc Corrupc 2023'!$AA$41="Menor"),CONCATENATE("R6C",'Mapa Instituc Corrupc 2023'!$O$41),"")</f>
        <v/>
      </c>
      <c r="R21" s="68" t="str">
        <f>IF(AND('Mapa Instituc Corrupc 2023'!$Y$42="Alta",'Mapa Instituc Corrupc 2023'!$AA$42="Menor"),CONCATENATE("R6C",'Mapa Instituc Corrupc 2023'!$O$42),"")</f>
        <v/>
      </c>
      <c r="S21" s="68" t="str">
        <f>IF(AND('Mapa Instituc Corrupc 2023'!$Y$43="Alta",'Mapa Instituc Corrupc 2023'!$AA$43="Menor"),CONCATENATE("R6C",'Mapa Instituc Corrupc 2023'!$O$43),"")</f>
        <v/>
      </c>
      <c r="T21" s="68" t="str">
        <f>IF(AND('Mapa Instituc Corrupc 2023'!$Y$44="Alta",'Mapa Instituc Corrupc 2023'!$AA$44="Menor"),CONCATENATE("R6C",'Mapa Instituc Corrupc 2023'!$O$44),"")</f>
        <v/>
      </c>
      <c r="U21" s="69" t="str">
        <f>IF(AND('Mapa Instituc Corrupc 2023'!$Y$45="Alta",'Mapa Instituc Corrupc 2023'!$AA$45="Menor"),CONCATENATE("R6C",'Mapa Instituc Corrupc 2023'!$O$45),"")</f>
        <v/>
      </c>
      <c r="V21" s="51" t="str">
        <f>IF(AND('Mapa Instituc Corrupc 2023'!$Y$40="Alta",'Mapa Instituc Corrupc 2023'!$AA$40="Moderado"),CONCATENATE("R6C",'Mapa Instituc Corrupc 2023'!$O$40),"")</f>
        <v/>
      </c>
      <c r="W21" s="52" t="str">
        <f>IF(AND('Mapa Instituc Corrupc 2023'!$Y$41="Alta",'Mapa Instituc Corrupc 2023'!$AA$41="Moderado"),CONCATENATE("R6C",'Mapa Instituc Corrupc 2023'!$O$41),"")</f>
        <v/>
      </c>
      <c r="X21" s="57" t="str">
        <f>IF(AND('Mapa Instituc Corrupc 2023'!$Y$42="Alta",'Mapa Instituc Corrupc 2023'!$AA$42="Moderado"),CONCATENATE("R6C",'Mapa Instituc Corrupc 2023'!$O$42),"")</f>
        <v/>
      </c>
      <c r="Y21" s="57" t="str">
        <f>IF(AND('Mapa Instituc Corrupc 2023'!$Y$43="Alta",'Mapa Instituc Corrupc 2023'!$AA$43="Moderado"),CONCATENATE("R6C",'Mapa Instituc Corrupc 2023'!$O$43),"")</f>
        <v/>
      </c>
      <c r="Z21" s="57" t="str">
        <f>IF(AND('Mapa Instituc Corrupc 2023'!$Y$44="Alta",'Mapa Instituc Corrupc 2023'!$AA$44="Moderado"),CONCATENATE("R6C",'Mapa Instituc Corrupc 2023'!$O$44),"")</f>
        <v/>
      </c>
      <c r="AA21" s="53" t="str">
        <f>IF(AND('Mapa Instituc Corrupc 2023'!$Y$45="Alta",'Mapa Instituc Corrupc 2023'!$AA$45="Moderado"),CONCATENATE("R6C",'Mapa Instituc Corrupc 2023'!$O$45),"")</f>
        <v/>
      </c>
      <c r="AB21" s="51" t="str">
        <f>IF(AND('Mapa Instituc Corrupc 2023'!$Y$40="Alta",'Mapa Instituc Corrupc 2023'!$AA$40="Mayor"),CONCATENATE("R6C",'Mapa Instituc Corrupc 2023'!$O$40),"")</f>
        <v/>
      </c>
      <c r="AC21" s="52" t="str">
        <f>IF(AND('Mapa Instituc Corrupc 2023'!$Y$41="Alta",'Mapa Instituc Corrupc 2023'!$AA$41="Mayor"),CONCATENATE("R6C",'Mapa Instituc Corrupc 2023'!$O$41),"")</f>
        <v/>
      </c>
      <c r="AD21" s="57" t="str">
        <f>IF(AND('Mapa Instituc Corrupc 2023'!$Y$42="Alta",'Mapa Instituc Corrupc 2023'!$AA$42="Mayor"),CONCATENATE("R6C",'Mapa Instituc Corrupc 2023'!$O$42),"")</f>
        <v/>
      </c>
      <c r="AE21" s="57" t="str">
        <f>IF(AND('Mapa Instituc Corrupc 2023'!$Y$43="Alta",'Mapa Instituc Corrupc 2023'!$AA$43="Mayor"),CONCATENATE("R6C",'Mapa Instituc Corrupc 2023'!$O$43),"")</f>
        <v/>
      </c>
      <c r="AF21" s="57" t="str">
        <f>IF(AND('Mapa Instituc Corrupc 2023'!$Y$44="Alta",'Mapa Instituc Corrupc 2023'!$AA$44="Mayor"),CONCATENATE("R6C",'Mapa Instituc Corrupc 2023'!$O$44),"")</f>
        <v/>
      </c>
      <c r="AG21" s="53" t="str">
        <f>IF(AND('Mapa Instituc Corrupc 2023'!$Y$45="Alta",'Mapa Instituc Corrupc 2023'!$AA$45="Mayor"),CONCATENATE("R6C",'Mapa Instituc Corrupc 2023'!$O$45),"")</f>
        <v/>
      </c>
      <c r="AH21" s="54" t="str">
        <f>IF(AND('Mapa Instituc Corrupc 2023'!$Y$40="Alta",'Mapa Instituc Corrupc 2023'!$AA$40="Catastrófico"),CONCATENATE("R6C",'Mapa Instituc Corrupc 2023'!$O$40),"")</f>
        <v/>
      </c>
      <c r="AI21" s="55" t="str">
        <f>IF(AND('Mapa Instituc Corrupc 2023'!$Y$41="Alta",'Mapa Instituc Corrupc 2023'!$AA$41="Catastrófico"),CONCATENATE("R6C",'Mapa Instituc Corrupc 2023'!$O$41),"")</f>
        <v/>
      </c>
      <c r="AJ21" s="55" t="str">
        <f>IF(AND('Mapa Instituc Corrupc 2023'!$Y$42="Alta",'Mapa Instituc Corrupc 2023'!$AA$42="Catastrófico"),CONCATENATE("R6C",'Mapa Instituc Corrupc 2023'!$O$42),"")</f>
        <v/>
      </c>
      <c r="AK21" s="55" t="str">
        <f>IF(AND('Mapa Instituc Corrupc 2023'!$Y$43="Alta",'Mapa Instituc Corrupc 2023'!$AA$43="Catastrófico"),CONCATENATE("R6C",'Mapa Instituc Corrupc 2023'!$O$43),"")</f>
        <v/>
      </c>
      <c r="AL21" s="55" t="str">
        <f>IF(AND('Mapa Instituc Corrupc 2023'!$Y$44="Alta",'Mapa Instituc Corrupc 2023'!$AA$44="Catastrófico"),CONCATENATE("R6C",'Mapa Instituc Corrupc 2023'!$O$44),"")</f>
        <v/>
      </c>
      <c r="AM21" s="56" t="str">
        <f>IF(AND('Mapa Instituc Corrupc 2023'!$Y$45="Alta",'Mapa Instituc Corrupc 2023'!$AA$45="Catastrófico"),CONCATENATE("R6C",'Mapa Instituc Corrupc 2023'!$O$45),"")</f>
        <v/>
      </c>
      <c r="AN21" s="83"/>
      <c r="AO21" s="471"/>
      <c r="AP21" s="472"/>
      <c r="AQ21" s="472"/>
      <c r="AR21" s="472"/>
      <c r="AS21" s="472"/>
      <c r="AT21" s="47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380"/>
      <c r="C22" s="380"/>
      <c r="D22" s="381"/>
      <c r="E22" s="481"/>
      <c r="F22" s="482"/>
      <c r="G22" s="482"/>
      <c r="H22" s="482"/>
      <c r="I22" s="480"/>
      <c r="J22" s="67" t="str">
        <f>IF(AND('Mapa Instituc Corrupc 2023'!$Y$46="Alta",'Mapa Instituc Corrupc 2023'!$AA$46="Leve"),CONCATENATE("R7C",'Mapa Instituc Corrupc 2023'!$O$46),"")</f>
        <v/>
      </c>
      <c r="K22" s="68" t="str">
        <f>IF(AND('Mapa Instituc Corrupc 2023'!$Y$47="Alta",'Mapa Instituc Corrupc 2023'!$AA$47="Leve"),CONCATENATE("R7C",'Mapa Instituc Corrupc 2023'!$O$47),"")</f>
        <v/>
      </c>
      <c r="L22" s="68" t="str">
        <f>IF(AND('Mapa Instituc Corrupc 2023'!$Y$48="Alta",'Mapa Instituc Corrupc 2023'!$AA$48="Leve"),CONCATENATE("R7C",'Mapa Instituc Corrupc 2023'!$O$48),"")</f>
        <v/>
      </c>
      <c r="M22" s="68" t="str">
        <f>IF(AND('Mapa Instituc Corrupc 2023'!$Y$49="Alta",'Mapa Instituc Corrupc 2023'!$AA$49="Leve"),CONCATENATE("R7C",'Mapa Instituc Corrupc 2023'!$O$49),"")</f>
        <v/>
      </c>
      <c r="N22" s="68" t="str">
        <f>IF(AND('Mapa Instituc Corrupc 2023'!$Y$50="Alta",'Mapa Instituc Corrupc 2023'!$AA$50="Leve"),CONCATENATE("R7C",'Mapa Instituc Corrupc 2023'!$O$50),"")</f>
        <v/>
      </c>
      <c r="O22" s="69" t="str">
        <f>IF(AND('Mapa Instituc Corrupc 2023'!$Y$51="Alta",'Mapa Instituc Corrupc 2023'!$AA$51="Leve"),CONCATENATE("R7C",'Mapa Instituc Corrupc 2023'!$O$51),"")</f>
        <v/>
      </c>
      <c r="P22" s="67" t="str">
        <f>IF(AND('Mapa Instituc Corrupc 2023'!$Y$46="Alta",'Mapa Instituc Corrupc 2023'!$AA$46="Menor"),CONCATENATE("R7C",'Mapa Instituc Corrupc 2023'!$O$46),"")</f>
        <v/>
      </c>
      <c r="Q22" s="68" t="str">
        <f>IF(AND('Mapa Instituc Corrupc 2023'!$Y$47="Alta",'Mapa Instituc Corrupc 2023'!$AA$47="Menor"),CONCATENATE("R7C",'Mapa Instituc Corrupc 2023'!$O$47),"")</f>
        <v/>
      </c>
      <c r="R22" s="68" t="str">
        <f>IF(AND('Mapa Instituc Corrupc 2023'!$Y$48="Alta",'Mapa Instituc Corrupc 2023'!$AA$48="Menor"),CONCATENATE("R7C",'Mapa Instituc Corrupc 2023'!$O$48),"")</f>
        <v/>
      </c>
      <c r="S22" s="68" t="str">
        <f>IF(AND('Mapa Instituc Corrupc 2023'!$Y$49="Alta",'Mapa Instituc Corrupc 2023'!$AA$49="Menor"),CONCATENATE("R7C",'Mapa Instituc Corrupc 2023'!$O$49),"")</f>
        <v/>
      </c>
      <c r="T22" s="68" t="str">
        <f>IF(AND('Mapa Instituc Corrupc 2023'!$Y$50="Alta",'Mapa Instituc Corrupc 2023'!$AA$50="Menor"),CONCATENATE("R7C",'Mapa Instituc Corrupc 2023'!$O$50),"")</f>
        <v/>
      </c>
      <c r="U22" s="69" t="str">
        <f>IF(AND('Mapa Instituc Corrupc 2023'!$Y$51="Alta",'Mapa Instituc Corrupc 2023'!$AA$51="Menor"),CONCATENATE("R7C",'Mapa Instituc Corrupc 2023'!$O$51),"")</f>
        <v/>
      </c>
      <c r="V22" s="51" t="str">
        <f>IF(AND('Mapa Instituc Corrupc 2023'!$Y$46="Alta",'Mapa Instituc Corrupc 2023'!$AA$46="Moderado"),CONCATENATE("R7C",'Mapa Instituc Corrupc 2023'!$O$46),"")</f>
        <v/>
      </c>
      <c r="W22" s="52" t="str">
        <f>IF(AND('Mapa Instituc Corrupc 2023'!$Y$47="Alta",'Mapa Instituc Corrupc 2023'!$AA$47="Moderado"),CONCATENATE("R7C",'Mapa Instituc Corrupc 2023'!$O$47),"")</f>
        <v/>
      </c>
      <c r="X22" s="57" t="str">
        <f>IF(AND('Mapa Instituc Corrupc 2023'!$Y$48="Alta",'Mapa Instituc Corrupc 2023'!$AA$48="Moderado"),CONCATENATE("R7C",'Mapa Instituc Corrupc 2023'!$O$48),"")</f>
        <v/>
      </c>
      <c r="Y22" s="57" t="str">
        <f>IF(AND('Mapa Instituc Corrupc 2023'!$Y$49="Alta",'Mapa Instituc Corrupc 2023'!$AA$49="Moderado"),CONCATENATE("R7C",'Mapa Instituc Corrupc 2023'!$O$49),"")</f>
        <v/>
      </c>
      <c r="Z22" s="57" t="str">
        <f>IF(AND('Mapa Instituc Corrupc 2023'!$Y$50="Alta",'Mapa Instituc Corrupc 2023'!$AA$50="Moderado"),CONCATENATE("R7C",'Mapa Instituc Corrupc 2023'!$O$50),"")</f>
        <v/>
      </c>
      <c r="AA22" s="53" t="str">
        <f>IF(AND('Mapa Instituc Corrupc 2023'!$Y$51="Alta",'Mapa Instituc Corrupc 2023'!$AA$51="Moderado"),CONCATENATE("R7C",'Mapa Instituc Corrupc 2023'!$O$51),"")</f>
        <v/>
      </c>
      <c r="AB22" s="51" t="str">
        <f>IF(AND('Mapa Instituc Corrupc 2023'!$Y$46="Alta",'Mapa Instituc Corrupc 2023'!$AA$46="Mayor"),CONCATENATE("R7C",'Mapa Instituc Corrupc 2023'!$O$46),"")</f>
        <v/>
      </c>
      <c r="AC22" s="52" t="str">
        <f>IF(AND('Mapa Instituc Corrupc 2023'!$Y$47="Alta",'Mapa Instituc Corrupc 2023'!$AA$47="Mayor"),CONCATENATE("R7C",'Mapa Instituc Corrupc 2023'!$O$47),"")</f>
        <v/>
      </c>
      <c r="AD22" s="57" t="str">
        <f>IF(AND('Mapa Instituc Corrupc 2023'!$Y$48="Alta",'Mapa Instituc Corrupc 2023'!$AA$48="Mayor"),CONCATENATE("R7C",'Mapa Instituc Corrupc 2023'!$O$48),"")</f>
        <v/>
      </c>
      <c r="AE22" s="57" t="str">
        <f>IF(AND('Mapa Instituc Corrupc 2023'!$Y$49="Alta",'Mapa Instituc Corrupc 2023'!$AA$49="Mayor"),CONCATENATE("R7C",'Mapa Instituc Corrupc 2023'!$O$49),"")</f>
        <v/>
      </c>
      <c r="AF22" s="57" t="str">
        <f>IF(AND('Mapa Instituc Corrupc 2023'!$Y$50="Alta",'Mapa Instituc Corrupc 2023'!$AA$50="Mayor"),CONCATENATE("R7C",'Mapa Instituc Corrupc 2023'!$O$50),"")</f>
        <v/>
      </c>
      <c r="AG22" s="53" t="str">
        <f>IF(AND('Mapa Instituc Corrupc 2023'!$Y$51="Alta",'Mapa Instituc Corrupc 2023'!$AA$51="Mayor"),CONCATENATE("R7C",'Mapa Instituc Corrupc 2023'!$O$51),"")</f>
        <v/>
      </c>
      <c r="AH22" s="54" t="str">
        <f>IF(AND('Mapa Instituc Corrupc 2023'!$Y$46="Alta",'Mapa Instituc Corrupc 2023'!$AA$46="Catastrófico"),CONCATENATE("R7C",'Mapa Instituc Corrupc 2023'!$O$46),"")</f>
        <v/>
      </c>
      <c r="AI22" s="55" t="str">
        <f>IF(AND('Mapa Instituc Corrupc 2023'!$Y$47="Alta",'Mapa Instituc Corrupc 2023'!$AA$47="Catastrófico"),CONCATENATE("R7C",'Mapa Instituc Corrupc 2023'!$O$47),"")</f>
        <v/>
      </c>
      <c r="AJ22" s="55" t="str">
        <f>IF(AND('Mapa Instituc Corrupc 2023'!$Y$48="Alta",'Mapa Instituc Corrupc 2023'!$AA$48="Catastrófico"),CONCATENATE("R7C",'Mapa Instituc Corrupc 2023'!$O$48),"")</f>
        <v/>
      </c>
      <c r="AK22" s="55" t="str">
        <f>IF(AND('Mapa Instituc Corrupc 2023'!$Y$49="Alta",'Mapa Instituc Corrupc 2023'!$AA$49="Catastrófico"),CONCATENATE("R7C",'Mapa Instituc Corrupc 2023'!$O$49),"")</f>
        <v/>
      </c>
      <c r="AL22" s="55" t="str">
        <f>IF(AND('Mapa Instituc Corrupc 2023'!$Y$50="Alta",'Mapa Instituc Corrupc 2023'!$AA$50="Catastrófico"),CONCATENATE("R7C",'Mapa Instituc Corrupc 2023'!$O$50),"")</f>
        <v/>
      </c>
      <c r="AM22" s="56" t="str">
        <f>IF(AND('Mapa Instituc Corrupc 2023'!$Y$51="Alta",'Mapa Instituc Corrupc 2023'!$AA$51="Catastrófico"),CONCATENATE("R7C",'Mapa Instituc Corrupc 2023'!$O$51),"")</f>
        <v/>
      </c>
      <c r="AN22" s="83"/>
      <c r="AO22" s="471"/>
      <c r="AP22" s="472"/>
      <c r="AQ22" s="472"/>
      <c r="AR22" s="472"/>
      <c r="AS22" s="472"/>
      <c r="AT22" s="47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380"/>
      <c r="C23" s="380"/>
      <c r="D23" s="381"/>
      <c r="E23" s="481"/>
      <c r="F23" s="482"/>
      <c r="G23" s="482"/>
      <c r="H23" s="482"/>
      <c r="I23" s="480"/>
      <c r="J23" s="67" t="str">
        <f>IF(AND('Mapa Instituc Corrupc 2023'!$Y$52="Alta",'Mapa Instituc Corrupc 2023'!$AA$52="Leve"),CONCATENATE("R8C",'Mapa Instituc Corrupc 2023'!$O$52),"")</f>
        <v/>
      </c>
      <c r="K23" s="68" t="str">
        <f>IF(AND('Mapa Instituc Corrupc 2023'!$Y$53="Alta",'Mapa Instituc Corrupc 2023'!$AA$53="Leve"),CONCATENATE("R8C",'Mapa Instituc Corrupc 2023'!$O$53),"")</f>
        <v/>
      </c>
      <c r="L23" s="68" t="str">
        <f>IF(AND('Mapa Instituc Corrupc 2023'!$Y$54="Alta",'Mapa Instituc Corrupc 2023'!$AA$54="Leve"),CONCATENATE("R8C",'Mapa Instituc Corrupc 2023'!$O$54),"")</f>
        <v/>
      </c>
      <c r="M23" s="68" t="str">
        <f>IF(AND('Mapa Instituc Corrupc 2023'!$Y$55="Alta",'Mapa Instituc Corrupc 2023'!$AA$55="Leve"),CONCATENATE("R8C",'Mapa Instituc Corrupc 2023'!$O$55),"")</f>
        <v/>
      </c>
      <c r="N23" s="68" t="str">
        <f>IF(AND('Mapa Instituc Corrupc 2023'!$Y$56="Alta",'Mapa Instituc Corrupc 2023'!$AA$56="Leve"),CONCATENATE("R8C",'Mapa Instituc Corrupc 2023'!$O$56),"")</f>
        <v/>
      </c>
      <c r="O23" s="69" t="str">
        <f>IF(AND('Mapa Instituc Corrupc 2023'!$Y$57="Alta",'Mapa Instituc Corrupc 2023'!$AA$57="Leve"),CONCATENATE("R8C",'Mapa Instituc Corrupc 2023'!$O$57),"")</f>
        <v/>
      </c>
      <c r="P23" s="67" t="str">
        <f>IF(AND('Mapa Instituc Corrupc 2023'!$Y$52="Alta",'Mapa Instituc Corrupc 2023'!$AA$52="Menor"),CONCATENATE("R8C",'Mapa Instituc Corrupc 2023'!$O$52),"")</f>
        <v/>
      </c>
      <c r="Q23" s="68" t="str">
        <f>IF(AND('Mapa Instituc Corrupc 2023'!$Y$53="Alta",'Mapa Instituc Corrupc 2023'!$AA$53="Menor"),CONCATENATE("R8C",'Mapa Instituc Corrupc 2023'!$O$53),"")</f>
        <v/>
      </c>
      <c r="R23" s="68" t="str">
        <f>IF(AND('Mapa Instituc Corrupc 2023'!$Y$54="Alta",'Mapa Instituc Corrupc 2023'!$AA$54="Menor"),CONCATENATE("R8C",'Mapa Instituc Corrupc 2023'!$O$54),"")</f>
        <v/>
      </c>
      <c r="S23" s="68" t="str">
        <f>IF(AND('Mapa Instituc Corrupc 2023'!$Y$55="Alta",'Mapa Instituc Corrupc 2023'!$AA$55="Menor"),CONCATENATE("R8C",'Mapa Instituc Corrupc 2023'!$O$55),"")</f>
        <v/>
      </c>
      <c r="T23" s="68" t="str">
        <f>IF(AND('Mapa Instituc Corrupc 2023'!$Y$56="Alta",'Mapa Instituc Corrupc 2023'!$AA$56="Menor"),CONCATENATE("R8C",'Mapa Instituc Corrupc 2023'!$O$56),"")</f>
        <v/>
      </c>
      <c r="U23" s="69" t="str">
        <f>IF(AND('Mapa Instituc Corrupc 2023'!$Y$57="Alta",'Mapa Instituc Corrupc 2023'!$AA$57="Menor"),CONCATENATE("R8C",'Mapa Instituc Corrupc 2023'!$O$57),"")</f>
        <v/>
      </c>
      <c r="V23" s="51" t="str">
        <f>IF(AND('Mapa Instituc Corrupc 2023'!$Y$52="Alta",'Mapa Instituc Corrupc 2023'!$AA$52="Moderado"),CONCATENATE("R8C",'Mapa Instituc Corrupc 2023'!$O$52),"")</f>
        <v/>
      </c>
      <c r="W23" s="52" t="str">
        <f>IF(AND('Mapa Instituc Corrupc 2023'!$Y$53="Alta",'Mapa Instituc Corrupc 2023'!$AA$53="Moderado"),CONCATENATE("R8C",'Mapa Instituc Corrupc 2023'!$O$53),"")</f>
        <v/>
      </c>
      <c r="X23" s="57" t="str">
        <f>IF(AND('Mapa Instituc Corrupc 2023'!$Y$54="Alta",'Mapa Instituc Corrupc 2023'!$AA$54="Moderado"),CONCATENATE("R8C",'Mapa Instituc Corrupc 2023'!$O$54),"")</f>
        <v/>
      </c>
      <c r="Y23" s="57" t="str">
        <f>IF(AND('Mapa Instituc Corrupc 2023'!$Y$55="Alta",'Mapa Instituc Corrupc 2023'!$AA$55="Moderado"),CONCATENATE("R8C",'Mapa Instituc Corrupc 2023'!$O$55),"")</f>
        <v/>
      </c>
      <c r="Z23" s="57" t="str">
        <f>IF(AND('Mapa Instituc Corrupc 2023'!$Y$56="Alta",'Mapa Instituc Corrupc 2023'!$AA$56="Moderado"),CONCATENATE("R8C",'Mapa Instituc Corrupc 2023'!$O$56),"")</f>
        <v/>
      </c>
      <c r="AA23" s="53" t="str">
        <f>IF(AND('Mapa Instituc Corrupc 2023'!$Y$57="Alta",'Mapa Instituc Corrupc 2023'!$AA$57="Moderado"),CONCATENATE("R8C",'Mapa Instituc Corrupc 2023'!$O$57),"")</f>
        <v/>
      </c>
      <c r="AB23" s="51" t="str">
        <f>IF(AND('Mapa Instituc Corrupc 2023'!$Y$52="Alta",'Mapa Instituc Corrupc 2023'!$AA$52="Mayor"),CONCATENATE("R8C",'Mapa Instituc Corrupc 2023'!$O$52),"")</f>
        <v/>
      </c>
      <c r="AC23" s="52" t="str">
        <f>IF(AND('Mapa Instituc Corrupc 2023'!$Y$53="Alta",'Mapa Instituc Corrupc 2023'!$AA$53="Mayor"),CONCATENATE("R8C",'Mapa Instituc Corrupc 2023'!$O$53),"")</f>
        <v/>
      </c>
      <c r="AD23" s="57" t="str">
        <f>IF(AND('Mapa Instituc Corrupc 2023'!$Y$54="Alta",'Mapa Instituc Corrupc 2023'!$AA$54="Mayor"),CONCATENATE("R8C",'Mapa Instituc Corrupc 2023'!$O$54),"")</f>
        <v/>
      </c>
      <c r="AE23" s="57" t="str">
        <f>IF(AND('Mapa Instituc Corrupc 2023'!$Y$55="Alta",'Mapa Instituc Corrupc 2023'!$AA$55="Mayor"),CONCATENATE("R8C",'Mapa Instituc Corrupc 2023'!$O$55),"")</f>
        <v/>
      </c>
      <c r="AF23" s="57" t="str">
        <f>IF(AND('Mapa Instituc Corrupc 2023'!$Y$56="Alta",'Mapa Instituc Corrupc 2023'!$AA$56="Mayor"),CONCATENATE("R8C",'Mapa Instituc Corrupc 2023'!$O$56),"")</f>
        <v/>
      </c>
      <c r="AG23" s="53" t="str">
        <f>IF(AND('Mapa Instituc Corrupc 2023'!$Y$57="Alta",'Mapa Instituc Corrupc 2023'!$AA$57="Mayor"),CONCATENATE("R8C",'Mapa Instituc Corrupc 2023'!$O$57),"")</f>
        <v/>
      </c>
      <c r="AH23" s="54" t="str">
        <f>IF(AND('Mapa Instituc Corrupc 2023'!$Y$52="Alta",'Mapa Instituc Corrupc 2023'!$AA$52="Catastrófico"),CONCATENATE("R8C",'Mapa Instituc Corrupc 2023'!$O$52),"")</f>
        <v/>
      </c>
      <c r="AI23" s="55" t="str">
        <f>IF(AND('Mapa Instituc Corrupc 2023'!$Y$53="Alta",'Mapa Instituc Corrupc 2023'!$AA$53="Catastrófico"),CONCATENATE("R8C",'Mapa Instituc Corrupc 2023'!$O$53),"")</f>
        <v/>
      </c>
      <c r="AJ23" s="55" t="str">
        <f>IF(AND('Mapa Instituc Corrupc 2023'!$Y$54="Alta",'Mapa Instituc Corrupc 2023'!$AA$54="Catastrófico"),CONCATENATE("R8C",'Mapa Instituc Corrupc 2023'!$O$54),"")</f>
        <v/>
      </c>
      <c r="AK23" s="55" t="str">
        <f>IF(AND('Mapa Instituc Corrupc 2023'!$Y$55="Alta",'Mapa Instituc Corrupc 2023'!$AA$55="Catastrófico"),CONCATENATE("R8C",'Mapa Instituc Corrupc 2023'!$O$55),"")</f>
        <v/>
      </c>
      <c r="AL23" s="55" t="str">
        <f>IF(AND('Mapa Instituc Corrupc 2023'!$Y$56="Alta",'Mapa Instituc Corrupc 2023'!$AA$56="Catastrófico"),CONCATENATE("R8C",'Mapa Instituc Corrupc 2023'!$O$56),"")</f>
        <v/>
      </c>
      <c r="AM23" s="56" t="str">
        <f>IF(AND('Mapa Instituc Corrupc 2023'!$Y$57="Alta",'Mapa Instituc Corrupc 2023'!$AA$57="Catastrófico"),CONCATENATE("R8C",'Mapa Instituc Corrupc 2023'!$O$57),"")</f>
        <v/>
      </c>
      <c r="AN23" s="83"/>
      <c r="AO23" s="471"/>
      <c r="AP23" s="472"/>
      <c r="AQ23" s="472"/>
      <c r="AR23" s="472"/>
      <c r="AS23" s="472"/>
      <c r="AT23" s="47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380"/>
      <c r="C24" s="380"/>
      <c r="D24" s="381"/>
      <c r="E24" s="481"/>
      <c r="F24" s="482"/>
      <c r="G24" s="482"/>
      <c r="H24" s="482"/>
      <c r="I24" s="480"/>
      <c r="J24" s="67" t="str">
        <f>IF(AND('Mapa Instituc Corrupc 2023'!$Y$58="Alta",'Mapa Instituc Corrupc 2023'!$AA$58="Leve"),CONCATENATE("R9C",'Mapa Instituc Corrupc 2023'!$O$58),"")</f>
        <v/>
      </c>
      <c r="K24" s="68" t="str">
        <f>IF(AND('Mapa Instituc Corrupc 2023'!$Y$59="Alta",'Mapa Instituc Corrupc 2023'!$AA$59="Leve"),CONCATENATE("R9C",'Mapa Instituc Corrupc 2023'!$O$59),"")</f>
        <v/>
      </c>
      <c r="L24" s="68" t="str">
        <f>IF(AND('Mapa Instituc Corrupc 2023'!$Y$60="Alta",'Mapa Instituc Corrupc 2023'!$AA$60="Leve"),CONCATENATE("R9C",'Mapa Instituc Corrupc 2023'!$O$60),"")</f>
        <v/>
      </c>
      <c r="M24" s="68" t="str">
        <f>IF(AND('Mapa Instituc Corrupc 2023'!$Y$61="Alta",'Mapa Instituc Corrupc 2023'!$AA$61="Leve"),CONCATENATE("R9C",'Mapa Instituc Corrupc 2023'!$O$61),"")</f>
        <v/>
      </c>
      <c r="N24" s="68" t="str">
        <f>IF(AND('Mapa Instituc Corrupc 2023'!$Y$62="Alta",'Mapa Instituc Corrupc 2023'!$AA$62="Leve"),CONCATENATE("R9C",'Mapa Instituc Corrupc 2023'!$O$62),"")</f>
        <v/>
      </c>
      <c r="O24" s="69" t="str">
        <f>IF(AND('Mapa Instituc Corrupc 2023'!$Y$63="Alta",'Mapa Instituc Corrupc 2023'!$AA$63="Leve"),CONCATENATE("R9C",'Mapa Instituc Corrupc 2023'!$O$63),"")</f>
        <v/>
      </c>
      <c r="P24" s="67" t="str">
        <f>IF(AND('Mapa Instituc Corrupc 2023'!$Y$58="Alta",'Mapa Instituc Corrupc 2023'!$AA$58="Menor"),CONCATENATE("R9C",'Mapa Instituc Corrupc 2023'!$O$58),"")</f>
        <v/>
      </c>
      <c r="Q24" s="68" t="str">
        <f>IF(AND('Mapa Instituc Corrupc 2023'!$Y$59="Alta",'Mapa Instituc Corrupc 2023'!$AA$59="Menor"),CONCATENATE("R9C",'Mapa Instituc Corrupc 2023'!$O$59),"")</f>
        <v/>
      </c>
      <c r="R24" s="68" t="str">
        <f>IF(AND('Mapa Instituc Corrupc 2023'!$Y$60="Alta",'Mapa Instituc Corrupc 2023'!$AA$60="Menor"),CONCATENATE("R9C",'Mapa Instituc Corrupc 2023'!$O$60),"")</f>
        <v/>
      </c>
      <c r="S24" s="68" t="str">
        <f>IF(AND('Mapa Instituc Corrupc 2023'!$Y$61="Alta",'Mapa Instituc Corrupc 2023'!$AA$61="Menor"),CONCATENATE("R9C",'Mapa Instituc Corrupc 2023'!$O$61),"")</f>
        <v/>
      </c>
      <c r="T24" s="68" t="str">
        <f>IF(AND('Mapa Instituc Corrupc 2023'!$Y$62="Alta",'Mapa Instituc Corrupc 2023'!$AA$62="Menor"),CONCATENATE("R9C",'Mapa Instituc Corrupc 2023'!$O$62),"")</f>
        <v/>
      </c>
      <c r="U24" s="69" t="str">
        <f>IF(AND('Mapa Instituc Corrupc 2023'!$Y$63="Alta",'Mapa Instituc Corrupc 2023'!$AA$63="Menor"),CONCATENATE("R9C",'Mapa Instituc Corrupc 2023'!$O$63),"")</f>
        <v/>
      </c>
      <c r="V24" s="51" t="str">
        <f>IF(AND('Mapa Instituc Corrupc 2023'!$Y$58="Alta",'Mapa Instituc Corrupc 2023'!$AA$58="Moderado"),CONCATENATE("R9C",'Mapa Instituc Corrupc 2023'!$O$58),"")</f>
        <v/>
      </c>
      <c r="W24" s="52" t="str">
        <f>IF(AND('Mapa Instituc Corrupc 2023'!$Y$59="Alta",'Mapa Instituc Corrupc 2023'!$AA$59="Moderado"),CONCATENATE("R9C",'Mapa Instituc Corrupc 2023'!$O$59),"")</f>
        <v/>
      </c>
      <c r="X24" s="57" t="str">
        <f>IF(AND('Mapa Instituc Corrupc 2023'!$Y$60="Alta",'Mapa Instituc Corrupc 2023'!$AA$60="Moderado"),CONCATENATE("R9C",'Mapa Instituc Corrupc 2023'!$O$60),"")</f>
        <v/>
      </c>
      <c r="Y24" s="57" t="str">
        <f>IF(AND('Mapa Instituc Corrupc 2023'!$Y$61="Alta",'Mapa Instituc Corrupc 2023'!$AA$61="Moderado"),CONCATENATE("R9C",'Mapa Instituc Corrupc 2023'!$O$61),"")</f>
        <v/>
      </c>
      <c r="Z24" s="57" t="str">
        <f>IF(AND('Mapa Instituc Corrupc 2023'!$Y$62="Alta",'Mapa Instituc Corrupc 2023'!$AA$62="Moderado"),CONCATENATE("R9C",'Mapa Instituc Corrupc 2023'!$O$62),"")</f>
        <v/>
      </c>
      <c r="AA24" s="53" t="str">
        <f>IF(AND('Mapa Instituc Corrupc 2023'!$Y$63="Alta",'Mapa Instituc Corrupc 2023'!$AA$63="Moderado"),CONCATENATE("R9C",'Mapa Instituc Corrupc 2023'!$O$63),"")</f>
        <v/>
      </c>
      <c r="AB24" s="51" t="str">
        <f>IF(AND('Mapa Instituc Corrupc 2023'!$Y$58="Alta",'Mapa Instituc Corrupc 2023'!$AA$58="Mayor"),CONCATENATE("R9C",'Mapa Instituc Corrupc 2023'!$O$58),"")</f>
        <v/>
      </c>
      <c r="AC24" s="52" t="str">
        <f>IF(AND('Mapa Instituc Corrupc 2023'!$Y$59="Alta",'Mapa Instituc Corrupc 2023'!$AA$59="Mayor"),CONCATENATE("R9C",'Mapa Instituc Corrupc 2023'!$O$59),"")</f>
        <v/>
      </c>
      <c r="AD24" s="57" t="str">
        <f>IF(AND('Mapa Instituc Corrupc 2023'!$Y$60="Alta",'Mapa Instituc Corrupc 2023'!$AA$60="Mayor"),CONCATENATE("R9C",'Mapa Instituc Corrupc 2023'!$O$60),"")</f>
        <v/>
      </c>
      <c r="AE24" s="57" t="str">
        <f>IF(AND('Mapa Instituc Corrupc 2023'!$Y$61="Alta",'Mapa Instituc Corrupc 2023'!$AA$61="Mayor"),CONCATENATE("R9C",'Mapa Instituc Corrupc 2023'!$O$61),"")</f>
        <v/>
      </c>
      <c r="AF24" s="57" t="str">
        <f>IF(AND('Mapa Instituc Corrupc 2023'!$Y$62="Alta",'Mapa Instituc Corrupc 2023'!$AA$62="Mayor"),CONCATENATE("R9C",'Mapa Instituc Corrupc 2023'!$O$62),"")</f>
        <v/>
      </c>
      <c r="AG24" s="53" t="str">
        <f>IF(AND('Mapa Instituc Corrupc 2023'!$Y$63="Alta",'Mapa Instituc Corrupc 2023'!$AA$63="Mayor"),CONCATENATE("R9C",'Mapa Instituc Corrupc 2023'!$O$63),"")</f>
        <v/>
      </c>
      <c r="AH24" s="54" t="str">
        <f>IF(AND('Mapa Instituc Corrupc 2023'!$Y$58="Alta",'Mapa Instituc Corrupc 2023'!$AA$58="Catastrófico"),CONCATENATE("R9C",'Mapa Instituc Corrupc 2023'!$O$58),"")</f>
        <v/>
      </c>
      <c r="AI24" s="55" t="str">
        <f>IF(AND('Mapa Instituc Corrupc 2023'!$Y$59="Alta",'Mapa Instituc Corrupc 2023'!$AA$59="Catastrófico"),CONCATENATE("R9C",'Mapa Instituc Corrupc 2023'!$O$59),"")</f>
        <v/>
      </c>
      <c r="AJ24" s="55" t="str">
        <f>IF(AND('Mapa Instituc Corrupc 2023'!$Y$60="Alta",'Mapa Instituc Corrupc 2023'!$AA$60="Catastrófico"),CONCATENATE("R9C",'Mapa Instituc Corrupc 2023'!$O$60),"")</f>
        <v/>
      </c>
      <c r="AK24" s="55" t="str">
        <f>IF(AND('Mapa Instituc Corrupc 2023'!$Y$61="Alta",'Mapa Instituc Corrupc 2023'!$AA$61="Catastrófico"),CONCATENATE("R9C",'Mapa Instituc Corrupc 2023'!$O$61),"")</f>
        <v/>
      </c>
      <c r="AL24" s="55" t="str">
        <f>IF(AND('Mapa Instituc Corrupc 2023'!$Y$62="Alta",'Mapa Instituc Corrupc 2023'!$AA$62="Catastrófico"),CONCATENATE("R9C",'Mapa Instituc Corrupc 2023'!$O$62),"")</f>
        <v/>
      </c>
      <c r="AM24" s="56" t="str">
        <f>IF(AND('Mapa Instituc Corrupc 2023'!$Y$63="Alta",'Mapa Instituc Corrupc 2023'!$AA$63="Catastrófico"),CONCATENATE("R9C",'Mapa Instituc Corrupc 2023'!$O$63),"")</f>
        <v/>
      </c>
      <c r="AN24" s="83"/>
      <c r="AO24" s="471"/>
      <c r="AP24" s="472"/>
      <c r="AQ24" s="472"/>
      <c r="AR24" s="472"/>
      <c r="AS24" s="472"/>
      <c r="AT24" s="47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380"/>
      <c r="C25" s="380"/>
      <c r="D25" s="381"/>
      <c r="E25" s="483"/>
      <c r="F25" s="484"/>
      <c r="G25" s="484"/>
      <c r="H25" s="484"/>
      <c r="I25" s="484"/>
      <c r="J25" s="70" t="str">
        <f>IF(AND('Mapa Instituc Corrupc 2023'!$Y$64="Alta",'Mapa Instituc Corrupc 2023'!$AA$64="Leve"),CONCATENATE("R10C",'Mapa Instituc Corrupc 2023'!$O$64),"")</f>
        <v/>
      </c>
      <c r="K25" s="71" t="str">
        <f>IF(AND('Mapa Instituc Corrupc 2023'!$Y$65="Alta",'Mapa Instituc Corrupc 2023'!$AA$65="Leve"),CONCATENATE("R10C",'Mapa Instituc Corrupc 2023'!$O$65),"")</f>
        <v/>
      </c>
      <c r="L25" s="71" t="str">
        <f>IF(AND('Mapa Instituc Corrupc 2023'!$Y$66="Alta",'Mapa Instituc Corrupc 2023'!$AA$66="Leve"),CONCATENATE("R10C",'Mapa Instituc Corrupc 2023'!$O$66),"")</f>
        <v/>
      </c>
      <c r="M25" s="71" t="str">
        <f>IF(AND('Mapa Instituc Corrupc 2023'!$Y$67="Alta",'Mapa Instituc Corrupc 2023'!$AA$67="Leve"),CONCATENATE("R10C",'Mapa Instituc Corrupc 2023'!$O$67),"")</f>
        <v/>
      </c>
      <c r="N25" s="71" t="str">
        <f>IF(AND('Mapa Instituc Corrupc 2023'!$Y$68="Alta",'Mapa Instituc Corrupc 2023'!$AA$68="Leve"),CONCATENATE("R10C",'Mapa Instituc Corrupc 2023'!$O$68),"")</f>
        <v/>
      </c>
      <c r="O25" s="72" t="str">
        <f>IF(AND('Mapa Instituc Corrupc 2023'!$Y$69="Alta",'Mapa Instituc Corrupc 2023'!$AA$69="Leve"),CONCATENATE("R10C",'Mapa Instituc Corrupc 2023'!$O$69),"")</f>
        <v/>
      </c>
      <c r="P25" s="70" t="str">
        <f>IF(AND('Mapa Instituc Corrupc 2023'!$Y$64="Alta",'Mapa Instituc Corrupc 2023'!$AA$64="Menor"),CONCATENATE("R10C",'Mapa Instituc Corrupc 2023'!$O$64),"")</f>
        <v/>
      </c>
      <c r="Q25" s="71" t="str">
        <f>IF(AND('Mapa Instituc Corrupc 2023'!$Y$65="Alta",'Mapa Instituc Corrupc 2023'!$AA$65="Menor"),CONCATENATE("R10C",'Mapa Instituc Corrupc 2023'!$O$65),"")</f>
        <v/>
      </c>
      <c r="R25" s="71" t="str">
        <f>IF(AND('Mapa Instituc Corrupc 2023'!$Y$66="Alta",'Mapa Instituc Corrupc 2023'!$AA$66="Menor"),CONCATENATE("R10C",'Mapa Instituc Corrupc 2023'!$O$66),"")</f>
        <v/>
      </c>
      <c r="S25" s="71" t="str">
        <f>IF(AND('Mapa Instituc Corrupc 2023'!$Y$67="Alta",'Mapa Instituc Corrupc 2023'!$AA$67="Menor"),CONCATENATE("R10C",'Mapa Instituc Corrupc 2023'!$O$67),"")</f>
        <v/>
      </c>
      <c r="T25" s="71" t="str">
        <f>IF(AND('Mapa Instituc Corrupc 2023'!$Y$68="Alta",'Mapa Instituc Corrupc 2023'!$AA$68="Menor"),CONCATENATE("R10C",'Mapa Instituc Corrupc 2023'!$O$68),"")</f>
        <v/>
      </c>
      <c r="U25" s="72" t="str">
        <f>IF(AND('Mapa Instituc Corrupc 2023'!$Y$69="Alta",'Mapa Instituc Corrupc 2023'!$AA$69="Menor"),CONCATENATE("R10C",'Mapa Instituc Corrupc 2023'!$O$69),"")</f>
        <v/>
      </c>
      <c r="V25" s="58" t="str">
        <f>IF(AND('Mapa Instituc Corrupc 2023'!$Y$64="Alta",'Mapa Instituc Corrupc 2023'!$AA$64="Moderado"),CONCATENATE("R10C",'Mapa Instituc Corrupc 2023'!$O$64),"")</f>
        <v/>
      </c>
      <c r="W25" s="59" t="str">
        <f>IF(AND('Mapa Instituc Corrupc 2023'!$Y$65="Alta",'Mapa Instituc Corrupc 2023'!$AA$65="Moderado"),CONCATENATE("R10C",'Mapa Instituc Corrupc 2023'!$O$65),"")</f>
        <v/>
      </c>
      <c r="X25" s="59" t="str">
        <f>IF(AND('Mapa Instituc Corrupc 2023'!$Y$66="Alta",'Mapa Instituc Corrupc 2023'!$AA$66="Moderado"),CONCATENATE("R10C",'Mapa Instituc Corrupc 2023'!$O$66),"")</f>
        <v/>
      </c>
      <c r="Y25" s="59" t="str">
        <f>IF(AND('Mapa Instituc Corrupc 2023'!$Y$67="Alta",'Mapa Instituc Corrupc 2023'!$AA$67="Moderado"),CONCATENATE("R10C",'Mapa Instituc Corrupc 2023'!$O$67),"")</f>
        <v/>
      </c>
      <c r="Z25" s="59" t="str">
        <f>IF(AND('Mapa Instituc Corrupc 2023'!$Y$68="Alta",'Mapa Instituc Corrupc 2023'!$AA$68="Moderado"),CONCATENATE("R10C",'Mapa Instituc Corrupc 2023'!$O$68),"")</f>
        <v/>
      </c>
      <c r="AA25" s="60" t="str">
        <f>IF(AND('Mapa Instituc Corrupc 2023'!$Y$69="Alta",'Mapa Instituc Corrupc 2023'!$AA$69="Moderado"),CONCATENATE("R10C",'Mapa Instituc Corrupc 2023'!$O$69),"")</f>
        <v/>
      </c>
      <c r="AB25" s="58" t="str">
        <f>IF(AND('Mapa Instituc Corrupc 2023'!$Y$64="Alta",'Mapa Instituc Corrupc 2023'!$AA$64="Mayor"),CONCATENATE("R10C",'Mapa Instituc Corrupc 2023'!$O$64),"")</f>
        <v/>
      </c>
      <c r="AC25" s="59" t="str">
        <f>IF(AND('Mapa Instituc Corrupc 2023'!$Y$65="Alta",'Mapa Instituc Corrupc 2023'!$AA$65="Mayor"),CONCATENATE("R10C",'Mapa Instituc Corrupc 2023'!$O$65),"")</f>
        <v/>
      </c>
      <c r="AD25" s="59" t="str">
        <f>IF(AND('Mapa Instituc Corrupc 2023'!$Y$66="Alta",'Mapa Instituc Corrupc 2023'!$AA$66="Mayor"),CONCATENATE("R10C",'Mapa Instituc Corrupc 2023'!$O$66),"")</f>
        <v/>
      </c>
      <c r="AE25" s="59" t="str">
        <f>IF(AND('Mapa Instituc Corrupc 2023'!$Y$67="Alta",'Mapa Instituc Corrupc 2023'!$AA$67="Mayor"),CONCATENATE("R10C",'Mapa Instituc Corrupc 2023'!$O$67),"")</f>
        <v/>
      </c>
      <c r="AF25" s="59" t="str">
        <f>IF(AND('Mapa Instituc Corrupc 2023'!$Y$68="Alta",'Mapa Instituc Corrupc 2023'!$AA$68="Mayor"),CONCATENATE("R10C",'Mapa Instituc Corrupc 2023'!$O$68),"")</f>
        <v/>
      </c>
      <c r="AG25" s="60" t="str">
        <f>IF(AND('Mapa Instituc Corrupc 2023'!$Y$69="Alta",'Mapa Instituc Corrupc 2023'!$AA$69="Mayor"),CONCATENATE("R10C",'Mapa Instituc Corrupc 2023'!$O$69),"")</f>
        <v/>
      </c>
      <c r="AH25" s="61" t="str">
        <f>IF(AND('Mapa Instituc Corrupc 2023'!$Y$64="Alta",'Mapa Instituc Corrupc 2023'!$AA$64="Catastrófico"),CONCATENATE("R10C",'Mapa Instituc Corrupc 2023'!$O$64),"")</f>
        <v/>
      </c>
      <c r="AI25" s="62" t="str">
        <f>IF(AND('Mapa Instituc Corrupc 2023'!$Y$65="Alta",'Mapa Instituc Corrupc 2023'!$AA$65="Catastrófico"),CONCATENATE("R10C",'Mapa Instituc Corrupc 2023'!$O$65),"")</f>
        <v/>
      </c>
      <c r="AJ25" s="62" t="str">
        <f>IF(AND('Mapa Instituc Corrupc 2023'!$Y$66="Alta",'Mapa Instituc Corrupc 2023'!$AA$66="Catastrófico"),CONCATENATE("R10C",'Mapa Instituc Corrupc 2023'!$O$66),"")</f>
        <v/>
      </c>
      <c r="AK25" s="62" t="str">
        <f>IF(AND('Mapa Instituc Corrupc 2023'!$Y$67="Alta",'Mapa Instituc Corrupc 2023'!$AA$67="Catastrófico"),CONCATENATE("R10C",'Mapa Instituc Corrupc 2023'!$O$67),"")</f>
        <v/>
      </c>
      <c r="AL25" s="62" t="str">
        <f>IF(AND('Mapa Instituc Corrupc 2023'!$Y$68="Alta",'Mapa Instituc Corrupc 2023'!$AA$68="Catastrófico"),CONCATENATE("R10C",'Mapa Instituc Corrupc 2023'!$O$68),"")</f>
        <v/>
      </c>
      <c r="AM25" s="63" t="str">
        <f>IF(AND('Mapa Instituc Corrupc 2023'!$Y$69="Alta",'Mapa Instituc Corrupc 2023'!$AA$69="Catastrófico"),CONCATENATE("R10C",'Mapa Instituc Corrupc 2023'!$O$69),"")</f>
        <v/>
      </c>
      <c r="AN25" s="83"/>
      <c r="AO25" s="474"/>
      <c r="AP25" s="475"/>
      <c r="AQ25" s="475"/>
      <c r="AR25" s="475"/>
      <c r="AS25" s="475"/>
      <c r="AT25" s="47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380"/>
      <c r="C26" s="380"/>
      <c r="D26" s="381"/>
      <c r="E26" s="477" t="s">
        <v>117</v>
      </c>
      <c r="F26" s="478"/>
      <c r="G26" s="478"/>
      <c r="H26" s="478"/>
      <c r="I26" s="496"/>
      <c r="J26" s="64" t="str">
        <f ca="1">IF(AND('Mapa Instituc Corrupc 2023'!$Y$10="Media",'Mapa Instituc Corrupc 2023'!$AA$10="Leve"),CONCATENATE("R1C",'Mapa Instituc Corrupc 2023'!$O$10),"")</f>
        <v/>
      </c>
      <c r="K26" s="65" t="str">
        <f>IF(AND('Mapa Instituc Corrupc 2023'!$Y$11="Media",'Mapa Instituc Corrupc 2023'!$AA$11="Leve"),CONCATENATE("R1C",'Mapa Instituc Corrupc 2023'!$O$11),"")</f>
        <v/>
      </c>
      <c r="L26" s="65" t="str">
        <f>IF(AND('Mapa Instituc Corrupc 2023'!$Y$12="Media",'Mapa Instituc Corrupc 2023'!$AA$12="Leve"),CONCATENATE("R1C",'Mapa Instituc Corrupc 2023'!$O$12),"")</f>
        <v/>
      </c>
      <c r="M26" s="65" t="str">
        <f>IF(AND('Mapa Instituc Corrupc 2023'!$Y$13="Media",'Mapa Instituc Corrupc 2023'!$AA$13="Leve"),CONCATENATE("R1C",'Mapa Instituc Corrupc 2023'!$O$13),"")</f>
        <v/>
      </c>
      <c r="N26" s="65" t="str">
        <f>IF(AND('Mapa Instituc Corrupc 2023'!$Y$14="Media",'Mapa Instituc Corrupc 2023'!$AA$14="Leve"),CONCATENATE("R1C",'Mapa Instituc Corrupc 2023'!$O$14),"")</f>
        <v/>
      </c>
      <c r="O26" s="66" t="str">
        <f>IF(AND('Mapa Instituc Corrupc 2023'!$Y$15="Media",'Mapa Instituc Corrupc 2023'!$AA$15="Leve"),CONCATENATE("R1C",'Mapa Instituc Corrupc 2023'!$O$15),"")</f>
        <v/>
      </c>
      <c r="P26" s="64" t="str">
        <f ca="1">IF(AND('Mapa Instituc Corrupc 2023'!$Y$10="Media",'Mapa Instituc Corrupc 2023'!$AA$10="Menor"),CONCATENATE("R1C",'Mapa Instituc Corrupc 2023'!$O$10),"")</f>
        <v/>
      </c>
      <c r="Q26" s="65" t="str">
        <f>IF(AND('Mapa Instituc Corrupc 2023'!$Y$11="Media",'Mapa Instituc Corrupc 2023'!$AA$11="Menor"),CONCATENATE("R1C",'Mapa Instituc Corrupc 2023'!$O$11),"")</f>
        <v/>
      </c>
      <c r="R26" s="65" t="str">
        <f>IF(AND('Mapa Instituc Corrupc 2023'!$Y$12="Media",'Mapa Instituc Corrupc 2023'!$AA$12="Menor"),CONCATENATE("R1C",'Mapa Instituc Corrupc 2023'!$O$12),"")</f>
        <v/>
      </c>
      <c r="S26" s="65" t="str">
        <f>IF(AND('Mapa Instituc Corrupc 2023'!$Y$13="Media",'Mapa Instituc Corrupc 2023'!$AA$13="Menor"),CONCATENATE("R1C",'Mapa Instituc Corrupc 2023'!$O$13),"")</f>
        <v/>
      </c>
      <c r="T26" s="65" t="str">
        <f>IF(AND('Mapa Instituc Corrupc 2023'!$Y$14="Media",'Mapa Instituc Corrupc 2023'!$AA$14="Menor"),CONCATENATE("R1C",'Mapa Instituc Corrupc 2023'!$O$14),"")</f>
        <v/>
      </c>
      <c r="U26" s="66" t="str">
        <f>IF(AND('Mapa Instituc Corrupc 2023'!$Y$15="Media",'Mapa Instituc Corrupc 2023'!$AA$15="Menor"),CONCATENATE("R1C",'Mapa Instituc Corrupc 2023'!$O$15),"")</f>
        <v/>
      </c>
      <c r="V26" s="64" t="str">
        <f ca="1">IF(AND('Mapa Instituc Corrupc 2023'!$Y$10="Media",'Mapa Instituc Corrupc 2023'!$AA$10="Moderado"),CONCATENATE("R1C",'Mapa Instituc Corrupc 2023'!$O$10),"")</f>
        <v/>
      </c>
      <c r="W26" s="65" t="str">
        <f>IF(AND('Mapa Instituc Corrupc 2023'!$Y$11="Media",'Mapa Instituc Corrupc 2023'!$AA$11="Moderado"),CONCATENATE("R1C",'Mapa Instituc Corrupc 2023'!$O$11),"")</f>
        <v/>
      </c>
      <c r="X26" s="65" t="str">
        <f>IF(AND('Mapa Instituc Corrupc 2023'!$Y$12="Media",'Mapa Instituc Corrupc 2023'!$AA$12="Moderado"),CONCATENATE("R1C",'Mapa Instituc Corrupc 2023'!$O$12),"")</f>
        <v/>
      </c>
      <c r="Y26" s="65" t="str">
        <f>IF(AND('Mapa Instituc Corrupc 2023'!$Y$13="Media",'Mapa Instituc Corrupc 2023'!$AA$13="Moderado"),CONCATENATE("R1C",'Mapa Instituc Corrupc 2023'!$O$13),"")</f>
        <v/>
      </c>
      <c r="Z26" s="65" t="str">
        <f>IF(AND('Mapa Instituc Corrupc 2023'!$Y$14="Media",'Mapa Instituc Corrupc 2023'!$AA$14="Moderado"),CONCATENATE("R1C",'Mapa Instituc Corrupc 2023'!$O$14),"")</f>
        <v/>
      </c>
      <c r="AA26" s="66" t="str">
        <f>IF(AND('Mapa Instituc Corrupc 2023'!$Y$15="Media",'Mapa Instituc Corrupc 2023'!$AA$15="Moderado"),CONCATENATE("R1C",'Mapa Instituc Corrupc 2023'!$O$15),"")</f>
        <v/>
      </c>
      <c r="AB26" s="45" t="str">
        <f ca="1">IF(AND('Mapa Instituc Corrupc 2023'!$Y$10="Media",'Mapa Instituc Corrupc 2023'!$AA$10="Mayor"),CONCATENATE("R1C",'Mapa Instituc Corrupc 2023'!$O$10),"")</f>
        <v/>
      </c>
      <c r="AC26" s="46" t="str">
        <f>IF(AND('Mapa Instituc Corrupc 2023'!$Y$11="Media",'Mapa Instituc Corrupc 2023'!$AA$11="Mayor"),CONCATENATE("R1C",'Mapa Instituc Corrupc 2023'!$O$11),"")</f>
        <v/>
      </c>
      <c r="AD26" s="46" t="str">
        <f>IF(AND('Mapa Instituc Corrupc 2023'!$Y$12="Media",'Mapa Instituc Corrupc 2023'!$AA$12="Mayor"),CONCATENATE("R1C",'Mapa Instituc Corrupc 2023'!$O$12),"")</f>
        <v/>
      </c>
      <c r="AE26" s="46" t="str">
        <f>IF(AND('Mapa Instituc Corrupc 2023'!$Y$13="Media",'Mapa Instituc Corrupc 2023'!$AA$13="Mayor"),CONCATENATE("R1C",'Mapa Instituc Corrupc 2023'!$O$13),"")</f>
        <v/>
      </c>
      <c r="AF26" s="46" t="str">
        <f>IF(AND('Mapa Instituc Corrupc 2023'!$Y$14="Media",'Mapa Instituc Corrupc 2023'!$AA$14="Mayor"),CONCATENATE("R1C",'Mapa Instituc Corrupc 2023'!$O$14),"")</f>
        <v/>
      </c>
      <c r="AG26" s="47" t="str">
        <f>IF(AND('Mapa Instituc Corrupc 2023'!$Y$15="Media",'Mapa Instituc Corrupc 2023'!$AA$15="Mayor"),CONCATENATE("R1C",'Mapa Instituc Corrupc 2023'!$O$15),"")</f>
        <v/>
      </c>
      <c r="AH26" s="48" t="str">
        <f ca="1">IF(AND('Mapa Instituc Corrupc 2023'!$Y$10="Media",'Mapa Instituc Corrupc 2023'!$AA$10="Catastrófico"),CONCATENATE("R1C",'Mapa Instituc Corrupc 2023'!$O$10),"")</f>
        <v/>
      </c>
      <c r="AI26" s="49" t="str">
        <f>IF(AND('Mapa Instituc Corrupc 2023'!$Y$11="Media",'Mapa Instituc Corrupc 2023'!$AA$11="Catastrófico"),CONCATENATE("R1C",'Mapa Instituc Corrupc 2023'!$O$11),"")</f>
        <v/>
      </c>
      <c r="AJ26" s="49" t="str">
        <f>IF(AND('Mapa Instituc Corrupc 2023'!$Y$12="Media",'Mapa Instituc Corrupc 2023'!$AA$12="Catastrófico"),CONCATENATE("R1C",'Mapa Instituc Corrupc 2023'!$O$12),"")</f>
        <v/>
      </c>
      <c r="AK26" s="49" t="str">
        <f>IF(AND('Mapa Instituc Corrupc 2023'!$Y$13="Media",'Mapa Instituc Corrupc 2023'!$AA$13="Catastrófico"),CONCATENATE("R1C",'Mapa Instituc Corrupc 2023'!$O$13),"")</f>
        <v/>
      </c>
      <c r="AL26" s="49" t="str">
        <f>IF(AND('Mapa Instituc Corrupc 2023'!$Y$14="Media",'Mapa Instituc Corrupc 2023'!$AA$14="Catastrófico"),CONCATENATE("R1C",'Mapa Instituc Corrupc 2023'!$O$14),"")</f>
        <v/>
      </c>
      <c r="AM26" s="50" t="str">
        <f>IF(AND('Mapa Instituc Corrupc 2023'!$Y$15="Media",'Mapa Instituc Corrupc 2023'!$AA$15="Catastrófico"),CONCATENATE("R1C",'Mapa Instituc Corrupc 2023'!$O$15),"")</f>
        <v/>
      </c>
      <c r="AN26" s="83"/>
      <c r="AO26" s="508" t="s">
        <v>81</v>
      </c>
      <c r="AP26" s="509"/>
      <c r="AQ26" s="509"/>
      <c r="AR26" s="509"/>
      <c r="AS26" s="509"/>
      <c r="AT26" s="510"/>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380"/>
      <c r="C27" s="380"/>
      <c r="D27" s="381"/>
      <c r="E27" s="479"/>
      <c r="F27" s="480"/>
      <c r="G27" s="480"/>
      <c r="H27" s="480"/>
      <c r="I27" s="497"/>
      <c r="J27" s="67" t="str">
        <f ca="1">IF(AND('Mapa Instituc Corrupc 2023'!$Y$16="Media",'Mapa Instituc Corrupc 2023'!$AA$16="Leve"),CONCATENATE("R2C",'Mapa Instituc Corrupc 2023'!$O$16),"")</f>
        <v/>
      </c>
      <c r="K27" s="68" t="str">
        <f>IF(AND('Mapa Instituc Corrupc 2023'!$Y$17="Media",'Mapa Instituc Corrupc 2023'!$AA$17="Leve"),CONCATENATE("R2C",'Mapa Instituc Corrupc 2023'!$O$17),"")</f>
        <v/>
      </c>
      <c r="L27" s="68" t="str">
        <f>IF(AND('Mapa Instituc Corrupc 2023'!$Y$18="Media",'Mapa Instituc Corrupc 2023'!$AA$18="Leve"),CONCATENATE("R2C",'Mapa Instituc Corrupc 2023'!$O$18),"")</f>
        <v/>
      </c>
      <c r="M27" s="68" t="str">
        <f>IF(AND('Mapa Instituc Corrupc 2023'!$Y$19="Media",'Mapa Instituc Corrupc 2023'!$AA$19="Leve"),CONCATENATE("R2C",'Mapa Instituc Corrupc 2023'!$O$19),"")</f>
        <v/>
      </c>
      <c r="N27" s="68" t="str">
        <f>IF(AND('Mapa Instituc Corrupc 2023'!$Y$20="Media",'Mapa Instituc Corrupc 2023'!$AA$20="Leve"),CONCATENATE("R2C",'Mapa Instituc Corrupc 2023'!$O$20),"")</f>
        <v/>
      </c>
      <c r="O27" s="69" t="str">
        <f>IF(AND('Mapa Instituc Corrupc 2023'!$Y$21="Media",'Mapa Instituc Corrupc 2023'!$AA$21="Leve"),CONCATENATE("R2C",'Mapa Instituc Corrupc 2023'!$O$21),"")</f>
        <v/>
      </c>
      <c r="P27" s="67" t="str">
        <f ca="1">IF(AND('Mapa Instituc Corrupc 2023'!$Y$16="Media",'Mapa Instituc Corrupc 2023'!$AA$16="Menor"),CONCATENATE("R2C",'Mapa Instituc Corrupc 2023'!$O$16),"")</f>
        <v>R2C2</v>
      </c>
      <c r="Q27" s="68" t="str">
        <f>IF(AND('Mapa Instituc Corrupc 2023'!$Y$17="Media",'Mapa Instituc Corrupc 2023'!$AA$17="Menor"),CONCATENATE("R2C",'Mapa Instituc Corrupc 2023'!$O$17),"")</f>
        <v/>
      </c>
      <c r="R27" s="68" t="str">
        <f>IF(AND('Mapa Instituc Corrupc 2023'!$Y$18="Media",'Mapa Instituc Corrupc 2023'!$AA$18="Menor"),CONCATENATE("R2C",'Mapa Instituc Corrupc 2023'!$O$18),"")</f>
        <v/>
      </c>
      <c r="S27" s="68" t="str">
        <f>IF(AND('Mapa Instituc Corrupc 2023'!$Y$19="Media",'Mapa Instituc Corrupc 2023'!$AA$19="Menor"),CONCATENATE("R2C",'Mapa Instituc Corrupc 2023'!$O$19),"")</f>
        <v/>
      </c>
      <c r="T27" s="68" t="str">
        <f>IF(AND('Mapa Instituc Corrupc 2023'!$Y$20="Media",'Mapa Instituc Corrupc 2023'!$AA$20="Menor"),CONCATENATE("R2C",'Mapa Instituc Corrupc 2023'!$O$20),"")</f>
        <v/>
      </c>
      <c r="U27" s="69" t="str">
        <f>IF(AND('Mapa Instituc Corrupc 2023'!$Y$21="Media",'Mapa Instituc Corrupc 2023'!$AA$21="Menor"),CONCATENATE("R2C",'Mapa Instituc Corrupc 2023'!$O$21),"")</f>
        <v/>
      </c>
      <c r="V27" s="67" t="str">
        <f ca="1">IF(AND('Mapa Instituc Corrupc 2023'!$Y$16="Media",'Mapa Instituc Corrupc 2023'!$AA$16="Moderado"),CONCATENATE("R2C",'Mapa Instituc Corrupc 2023'!$O$16),"")</f>
        <v/>
      </c>
      <c r="W27" s="68" t="str">
        <f>IF(AND('Mapa Instituc Corrupc 2023'!$Y$17="Media",'Mapa Instituc Corrupc 2023'!$AA$17="Moderado"),CONCATENATE("R2C",'Mapa Instituc Corrupc 2023'!$O$17),"")</f>
        <v/>
      </c>
      <c r="X27" s="68" t="str">
        <f>IF(AND('Mapa Instituc Corrupc 2023'!$Y$18="Media",'Mapa Instituc Corrupc 2023'!$AA$18="Moderado"),CONCATENATE("R2C",'Mapa Instituc Corrupc 2023'!$O$18),"")</f>
        <v/>
      </c>
      <c r="Y27" s="68" t="str">
        <f>IF(AND('Mapa Instituc Corrupc 2023'!$Y$19="Media",'Mapa Instituc Corrupc 2023'!$AA$19="Moderado"),CONCATENATE("R2C",'Mapa Instituc Corrupc 2023'!$O$19),"")</f>
        <v/>
      </c>
      <c r="Z27" s="68" t="str">
        <f>IF(AND('Mapa Instituc Corrupc 2023'!$Y$20="Media",'Mapa Instituc Corrupc 2023'!$AA$20="Moderado"),CONCATENATE("R2C",'Mapa Instituc Corrupc 2023'!$O$20),"")</f>
        <v/>
      </c>
      <c r="AA27" s="69" t="str">
        <f>IF(AND('Mapa Instituc Corrupc 2023'!$Y$21="Media",'Mapa Instituc Corrupc 2023'!$AA$21="Moderado"),CONCATENATE("R2C",'Mapa Instituc Corrupc 2023'!$O$21),"")</f>
        <v/>
      </c>
      <c r="AB27" s="51" t="str">
        <f ca="1">IF(AND('Mapa Instituc Corrupc 2023'!$Y$16="Media",'Mapa Instituc Corrupc 2023'!$AA$16="Mayor"),CONCATENATE("R2C",'Mapa Instituc Corrupc 2023'!$O$16),"")</f>
        <v/>
      </c>
      <c r="AC27" s="52" t="str">
        <f>IF(AND('Mapa Instituc Corrupc 2023'!$Y$17="Media",'Mapa Instituc Corrupc 2023'!$AA$17="Mayor"),CONCATENATE("R2C",'Mapa Instituc Corrupc 2023'!$O$17),"")</f>
        <v/>
      </c>
      <c r="AD27" s="52" t="str">
        <f>IF(AND('Mapa Instituc Corrupc 2023'!$Y$18="Media",'Mapa Instituc Corrupc 2023'!$AA$18="Mayor"),CONCATENATE("R2C",'Mapa Instituc Corrupc 2023'!$O$18),"")</f>
        <v/>
      </c>
      <c r="AE27" s="52" t="str">
        <f>IF(AND('Mapa Instituc Corrupc 2023'!$Y$19="Media",'Mapa Instituc Corrupc 2023'!$AA$19="Mayor"),CONCATENATE("R2C",'Mapa Instituc Corrupc 2023'!$O$19),"")</f>
        <v/>
      </c>
      <c r="AF27" s="52" t="str">
        <f>IF(AND('Mapa Instituc Corrupc 2023'!$Y$20="Media",'Mapa Instituc Corrupc 2023'!$AA$20="Mayor"),CONCATENATE("R2C",'Mapa Instituc Corrupc 2023'!$O$20),"")</f>
        <v/>
      </c>
      <c r="AG27" s="53" t="str">
        <f>IF(AND('Mapa Instituc Corrupc 2023'!$Y$21="Media",'Mapa Instituc Corrupc 2023'!$AA$21="Mayor"),CONCATENATE("R2C",'Mapa Instituc Corrupc 2023'!$O$21),"")</f>
        <v/>
      </c>
      <c r="AH27" s="54" t="str">
        <f ca="1">IF(AND('Mapa Instituc Corrupc 2023'!$Y$16="Media",'Mapa Instituc Corrupc 2023'!$AA$16="Catastrófico"),CONCATENATE("R2C",'Mapa Instituc Corrupc 2023'!$O$16),"")</f>
        <v/>
      </c>
      <c r="AI27" s="55" t="str">
        <f>IF(AND('Mapa Instituc Corrupc 2023'!$Y$17="Media",'Mapa Instituc Corrupc 2023'!$AA$17="Catastrófico"),CONCATENATE("R2C",'Mapa Instituc Corrupc 2023'!$O$17),"")</f>
        <v/>
      </c>
      <c r="AJ27" s="55" t="str">
        <f>IF(AND('Mapa Instituc Corrupc 2023'!$Y$18="Media",'Mapa Instituc Corrupc 2023'!$AA$18="Catastrófico"),CONCATENATE("R2C",'Mapa Instituc Corrupc 2023'!$O$18),"")</f>
        <v/>
      </c>
      <c r="AK27" s="55" t="str">
        <f>IF(AND('Mapa Instituc Corrupc 2023'!$Y$19="Media",'Mapa Instituc Corrupc 2023'!$AA$19="Catastrófico"),CONCATENATE("R2C",'Mapa Instituc Corrupc 2023'!$O$19),"")</f>
        <v/>
      </c>
      <c r="AL27" s="55" t="str">
        <f>IF(AND('Mapa Instituc Corrupc 2023'!$Y$20="Media",'Mapa Instituc Corrupc 2023'!$AA$20="Catastrófico"),CONCATENATE("R2C",'Mapa Instituc Corrupc 2023'!$O$20),"")</f>
        <v/>
      </c>
      <c r="AM27" s="56" t="str">
        <f>IF(AND('Mapa Instituc Corrupc 2023'!$Y$21="Media",'Mapa Instituc Corrupc 2023'!$AA$21="Catastrófico"),CONCATENATE("R2C",'Mapa Instituc Corrupc 2023'!$O$21),"")</f>
        <v/>
      </c>
      <c r="AN27" s="83"/>
      <c r="AO27" s="511"/>
      <c r="AP27" s="512"/>
      <c r="AQ27" s="512"/>
      <c r="AR27" s="512"/>
      <c r="AS27" s="512"/>
      <c r="AT27" s="51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380"/>
      <c r="C28" s="380"/>
      <c r="D28" s="381"/>
      <c r="E28" s="481"/>
      <c r="F28" s="482"/>
      <c r="G28" s="482"/>
      <c r="H28" s="482"/>
      <c r="I28" s="497"/>
      <c r="J28" s="67" t="str">
        <f>IF(AND('Mapa Instituc Corrupc 2023'!$Y$22="Media",'Mapa Instituc Corrupc 2023'!$AA$22="Leve"),CONCATENATE("R3C",'Mapa Instituc Corrupc 2023'!$O$22),"")</f>
        <v/>
      </c>
      <c r="K28" s="68" t="str">
        <f>IF(AND('Mapa Instituc Corrupc 2023'!$Y$23="Media",'Mapa Instituc Corrupc 2023'!$AA$23="Leve"),CONCATENATE("R3C",'Mapa Instituc Corrupc 2023'!$O$23),"")</f>
        <v/>
      </c>
      <c r="L28" s="68" t="str">
        <f>IF(AND('Mapa Instituc Corrupc 2023'!$Y$24="Media",'Mapa Instituc Corrupc 2023'!$AA$24="Leve"),CONCATENATE("R3C",'Mapa Instituc Corrupc 2023'!$O$24),"")</f>
        <v/>
      </c>
      <c r="M28" s="68" t="str">
        <f>IF(AND('Mapa Instituc Corrupc 2023'!$Y$25="Media",'Mapa Instituc Corrupc 2023'!$AA$25="Leve"),CONCATENATE("R3C",'Mapa Instituc Corrupc 2023'!$O$25),"")</f>
        <v/>
      </c>
      <c r="N28" s="68" t="str">
        <f>IF(AND('Mapa Instituc Corrupc 2023'!$Y$26="Media",'Mapa Instituc Corrupc 2023'!$AA$26="Leve"),CONCATENATE("R3C",'Mapa Instituc Corrupc 2023'!$O$26),"")</f>
        <v/>
      </c>
      <c r="O28" s="69" t="str">
        <f>IF(AND('Mapa Instituc Corrupc 2023'!$Y$27="Media",'Mapa Instituc Corrupc 2023'!$AA$27="Leve"),CONCATENATE("R3C",'Mapa Instituc Corrupc 2023'!$O$27),"")</f>
        <v/>
      </c>
      <c r="P28" s="67" t="str">
        <f>IF(AND('Mapa Instituc Corrupc 2023'!$Y$22="Media",'Mapa Instituc Corrupc 2023'!$AA$22="Menor"),CONCATENATE("R3C",'Mapa Instituc Corrupc 2023'!$O$22),"")</f>
        <v/>
      </c>
      <c r="Q28" s="68" t="str">
        <f>IF(AND('Mapa Instituc Corrupc 2023'!$Y$23="Media",'Mapa Instituc Corrupc 2023'!$AA$23="Menor"),CONCATENATE("R3C",'Mapa Instituc Corrupc 2023'!$O$23),"")</f>
        <v/>
      </c>
      <c r="R28" s="68" t="str">
        <f>IF(AND('Mapa Instituc Corrupc 2023'!$Y$24="Media",'Mapa Instituc Corrupc 2023'!$AA$24="Menor"),CONCATENATE("R3C",'Mapa Instituc Corrupc 2023'!$O$24),"")</f>
        <v/>
      </c>
      <c r="S28" s="68" t="str">
        <f>IF(AND('Mapa Instituc Corrupc 2023'!$Y$25="Media",'Mapa Instituc Corrupc 2023'!$AA$25="Menor"),CONCATENATE("R3C",'Mapa Instituc Corrupc 2023'!$O$25),"")</f>
        <v/>
      </c>
      <c r="T28" s="68" t="str">
        <f>IF(AND('Mapa Instituc Corrupc 2023'!$Y$26="Media",'Mapa Instituc Corrupc 2023'!$AA$26="Menor"),CONCATENATE("R3C",'Mapa Instituc Corrupc 2023'!$O$26),"")</f>
        <v/>
      </c>
      <c r="U28" s="69" t="str">
        <f>IF(AND('Mapa Instituc Corrupc 2023'!$Y$27="Media",'Mapa Instituc Corrupc 2023'!$AA$27="Menor"),CONCATENATE("R3C",'Mapa Instituc Corrupc 2023'!$O$27),"")</f>
        <v/>
      </c>
      <c r="V28" s="67" t="str">
        <f>IF(AND('Mapa Instituc Corrupc 2023'!$Y$22="Media",'Mapa Instituc Corrupc 2023'!$AA$22="Moderado"),CONCATENATE("R3C",'Mapa Instituc Corrupc 2023'!$O$22),"")</f>
        <v/>
      </c>
      <c r="W28" s="68" t="str">
        <f>IF(AND('Mapa Instituc Corrupc 2023'!$Y$23="Media",'Mapa Instituc Corrupc 2023'!$AA$23="Moderado"),CONCATENATE("R3C",'Mapa Instituc Corrupc 2023'!$O$23),"")</f>
        <v/>
      </c>
      <c r="X28" s="68" t="str">
        <f>IF(AND('Mapa Instituc Corrupc 2023'!$Y$24="Media",'Mapa Instituc Corrupc 2023'!$AA$24="Moderado"),CONCATENATE("R3C",'Mapa Instituc Corrupc 2023'!$O$24),"")</f>
        <v/>
      </c>
      <c r="Y28" s="68" t="str">
        <f>IF(AND('Mapa Instituc Corrupc 2023'!$Y$25="Media",'Mapa Instituc Corrupc 2023'!$AA$25="Moderado"),CONCATENATE("R3C",'Mapa Instituc Corrupc 2023'!$O$25),"")</f>
        <v/>
      </c>
      <c r="Z28" s="68" t="str">
        <f>IF(AND('Mapa Instituc Corrupc 2023'!$Y$26="Media",'Mapa Instituc Corrupc 2023'!$AA$26="Moderado"),CONCATENATE("R3C",'Mapa Instituc Corrupc 2023'!$O$26),"")</f>
        <v/>
      </c>
      <c r="AA28" s="69" t="str">
        <f>IF(AND('Mapa Instituc Corrupc 2023'!$Y$27="Media",'Mapa Instituc Corrupc 2023'!$AA$27="Moderado"),CONCATENATE("R3C",'Mapa Instituc Corrupc 2023'!$O$27),"")</f>
        <v/>
      </c>
      <c r="AB28" s="51" t="str">
        <f>IF(AND('Mapa Instituc Corrupc 2023'!$Y$22="Media",'Mapa Instituc Corrupc 2023'!$AA$22="Mayor"),CONCATENATE("R3C",'Mapa Instituc Corrupc 2023'!$O$22),"")</f>
        <v/>
      </c>
      <c r="AC28" s="52" t="str">
        <f>IF(AND('Mapa Instituc Corrupc 2023'!$Y$23="Media",'Mapa Instituc Corrupc 2023'!$AA$23="Mayor"),CONCATENATE("R3C",'Mapa Instituc Corrupc 2023'!$O$23),"")</f>
        <v/>
      </c>
      <c r="AD28" s="52" t="str">
        <f>IF(AND('Mapa Instituc Corrupc 2023'!$Y$24="Media",'Mapa Instituc Corrupc 2023'!$AA$24="Mayor"),CONCATENATE("R3C",'Mapa Instituc Corrupc 2023'!$O$24),"")</f>
        <v/>
      </c>
      <c r="AE28" s="52" t="str">
        <f>IF(AND('Mapa Instituc Corrupc 2023'!$Y$25="Media",'Mapa Instituc Corrupc 2023'!$AA$25="Mayor"),CONCATENATE("R3C",'Mapa Instituc Corrupc 2023'!$O$25),"")</f>
        <v/>
      </c>
      <c r="AF28" s="52" t="str">
        <f>IF(AND('Mapa Instituc Corrupc 2023'!$Y$26="Media",'Mapa Instituc Corrupc 2023'!$AA$26="Mayor"),CONCATENATE("R3C",'Mapa Instituc Corrupc 2023'!$O$26),"")</f>
        <v/>
      </c>
      <c r="AG28" s="53" t="str">
        <f>IF(AND('Mapa Instituc Corrupc 2023'!$Y$27="Media",'Mapa Instituc Corrupc 2023'!$AA$27="Mayor"),CONCATENATE("R3C",'Mapa Instituc Corrupc 2023'!$O$27),"")</f>
        <v/>
      </c>
      <c r="AH28" s="54" t="str">
        <f>IF(AND('Mapa Instituc Corrupc 2023'!$Y$22="Media",'Mapa Instituc Corrupc 2023'!$AA$22="Catastrófico"),CONCATENATE("R3C",'Mapa Instituc Corrupc 2023'!$O$22),"")</f>
        <v/>
      </c>
      <c r="AI28" s="55" t="str">
        <f>IF(AND('Mapa Instituc Corrupc 2023'!$Y$23="Media",'Mapa Instituc Corrupc 2023'!$AA$23="Catastrófico"),CONCATENATE("R3C",'Mapa Instituc Corrupc 2023'!$O$23),"")</f>
        <v/>
      </c>
      <c r="AJ28" s="55" t="str">
        <f>IF(AND('Mapa Instituc Corrupc 2023'!$Y$24="Media",'Mapa Instituc Corrupc 2023'!$AA$24="Catastrófico"),CONCATENATE("R3C",'Mapa Instituc Corrupc 2023'!$O$24),"")</f>
        <v/>
      </c>
      <c r="AK28" s="55" t="str">
        <f>IF(AND('Mapa Instituc Corrupc 2023'!$Y$25="Media",'Mapa Instituc Corrupc 2023'!$AA$25="Catastrófico"),CONCATENATE("R3C",'Mapa Instituc Corrupc 2023'!$O$25),"")</f>
        <v/>
      </c>
      <c r="AL28" s="55" t="str">
        <f>IF(AND('Mapa Instituc Corrupc 2023'!$Y$26="Media",'Mapa Instituc Corrupc 2023'!$AA$26="Catastrófico"),CONCATENATE("R3C",'Mapa Instituc Corrupc 2023'!$O$26),"")</f>
        <v/>
      </c>
      <c r="AM28" s="56" t="str">
        <f>IF(AND('Mapa Instituc Corrupc 2023'!$Y$27="Media",'Mapa Instituc Corrupc 2023'!$AA$27="Catastrófico"),CONCATENATE("R3C",'Mapa Instituc Corrupc 2023'!$O$27),"")</f>
        <v/>
      </c>
      <c r="AN28" s="83"/>
      <c r="AO28" s="511"/>
      <c r="AP28" s="512"/>
      <c r="AQ28" s="512"/>
      <c r="AR28" s="512"/>
      <c r="AS28" s="512"/>
      <c r="AT28" s="51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380"/>
      <c r="C29" s="380"/>
      <c r="D29" s="381"/>
      <c r="E29" s="481"/>
      <c r="F29" s="482"/>
      <c r="G29" s="482"/>
      <c r="H29" s="482"/>
      <c r="I29" s="497"/>
      <c r="J29" s="67" t="str">
        <f>IF(AND('Mapa Instituc Corrupc 2023'!$Y$28="Media",'Mapa Instituc Corrupc 2023'!$AA$28="Leve"),CONCATENATE("R4C",'Mapa Instituc Corrupc 2023'!$O$28),"")</f>
        <v/>
      </c>
      <c r="K29" s="68" t="str">
        <f>IF(AND('Mapa Instituc Corrupc 2023'!$Y$29="Media",'Mapa Instituc Corrupc 2023'!$AA$29="Leve"),CONCATENATE("R4C",'Mapa Instituc Corrupc 2023'!$O$29),"")</f>
        <v/>
      </c>
      <c r="L29" s="68" t="str">
        <f>IF(AND('Mapa Instituc Corrupc 2023'!$Y$30="Media",'Mapa Instituc Corrupc 2023'!$AA$30="Leve"),CONCATENATE("R4C",'Mapa Instituc Corrupc 2023'!$O$30),"")</f>
        <v/>
      </c>
      <c r="M29" s="68" t="str">
        <f>IF(AND('Mapa Instituc Corrupc 2023'!$Y$31="Media",'Mapa Instituc Corrupc 2023'!$AA$31="Leve"),CONCATENATE("R4C",'Mapa Instituc Corrupc 2023'!$O$31),"")</f>
        <v/>
      </c>
      <c r="N29" s="68" t="str">
        <f>IF(AND('Mapa Instituc Corrupc 2023'!$Y$32="Media",'Mapa Instituc Corrupc 2023'!$AA$32="Leve"),CONCATENATE("R4C",'Mapa Instituc Corrupc 2023'!$O$32),"")</f>
        <v/>
      </c>
      <c r="O29" s="69" t="str">
        <f>IF(AND('Mapa Instituc Corrupc 2023'!$Y$33="Media",'Mapa Instituc Corrupc 2023'!$AA$33="Leve"),CONCATENATE("R4C",'Mapa Instituc Corrupc 2023'!$O$33),"")</f>
        <v/>
      </c>
      <c r="P29" s="67" t="str">
        <f>IF(AND('Mapa Instituc Corrupc 2023'!$Y$28="Media",'Mapa Instituc Corrupc 2023'!$AA$28="Menor"),CONCATENATE("R4C",'Mapa Instituc Corrupc 2023'!$O$28),"")</f>
        <v/>
      </c>
      <c r="Q29" s="68" t="str">
        <f>IF(AND('Mapa Instituc Corrupc 2023'!$Y$29="Media",'Mapa Instituc Corrupc 2023'!$AA$29="Menor"),CONCATENATE("R4C",'Mapa Instituc Corrupc 2023'!$O$29),"")</f>
        <v/>
      </c>
      <c r="R29" s="68" t="str">
        <f>IF(AND('Mapa Instituc Corrupc 2023'!$Y$30="Media",'Mapa Instituc Corrupc 2023'!$AA$30="Menor"),CONCATENATE("R4C",'Mapa Instituc Corrupc 2023'!$O$30),"")</f>
        <v/>
      </c>
      <c r="S29" s="68" t="str">
        <f>IF(AND('Mapa Instituc Corrupc 2023'!$Y$31="Media",'Mapa Instituc Corrupc 2023'!$AA$31="Menor"),CONCATENATE("R4C",'Mapa Instituc Corrupc 2023'!$O$31),"")</f>
        <v/>
      </c>
      <c r="T29" s="68" t="str">
        <f>IF(AND('Mapa Instituc Corrupc 2023'!$Y$32="Media",'Mapa Instituc Corrupc 2023'!$AA$32="Menor"),CONCATENATE("R4C",'Mapa Instituc Corrupc 2023'!$O$32),"")</f>
        <v/>
      </c>
      <c r="U29" s="69" t="str">
        <f>IF(AND('Mapa Instituc Corrupc 2023'!$Y$33="Media",'Mapa Instituc Corrupc 2023'!$AA$33="Menor"),CONCATENATE("R4C",'Mapa Instituc Corrupc 2023'!$O$33),"")</f>
        <v/>
      </c>
      <c r="V29" s="67" t="str">
        <f>IF(AND('Mapa Instituc Corrupc 2023'!$Y$28="Media",'Mapa Instituc Corrupc 2023'!$AA$28="Moderado"),CONCATENATE("R4C",'Mapa Instituc Corrupc 2023'!$O$28),"")</f>
        <v/>
      </c>
      <c r="W29" s="68" t="str">
        <f>IF(AND('Mapa Instituc Corrupc 2023'!$Y$29="Media",'Mapa Instituc Corrupc 2023'!$AA$29="Moderado"),CONCATENATE("R4C",'Mapa Instituc Corrupc 2023'!$O$29),"")</f>
        <v/>
      </c>
      <c r="X29" s="68" t="str">
        <f>IF(AND('Mapa Instituc Corrupc 2023'!$Y$30="Media",'Mapa Instituc Corrupc 2023'!$AA$30="Moderado"),CONCATENATE("R4C",'Mapa Instituc Corrupc 2023'!$O$30),"")</f>
        <v/>
      </c>
      <c r="Y29" s="68" t="str">
        <f>IF(AND('Mapa Instituc Corrupc 2023'!$Y$31="Media",'Mapa Instituc Corrupc 2023'!$AA$31="Moderado"),CONCATENATE("R4C",'Mapa Instituc Corrupc 2023'!$O$31),"")</f>
        <v/>
      </c>
      <c r="Z29" s="68" t="str">
        <f>IF(AND('Mapa Instituc Corrupc 2023'!$Y$32="Media",'Mapa Instituc Corrupc 2023'!$AA$32="Moderado"),CONCATENATE("R4C",'Mapa Instituc Corrupc 2023'!$O$32),"")</f>
        <v/>
      </c>
      <c r="AA29" s="69" t="str">
        <f>IF(AND('Mapa Instituc Corrupc 2023'!$Y$33="Media",'Mapa Instituc Corrupc 2023'!$AA$33="Moderado"),CONCATENATE("R4C",'Mapa Instituc Corrupc 2023'!$O$33),"")</f>
        <v/>
      </c>
      <c r="AB29" s="51" t="str">
        <f>IF(AND('Mapa Instituc Corrupc 2023'!$Y$28="Media",'Mapa Instituc Corrupc 2023'!$AA$28="Mayor"),CONCATENATE("R4C",'Mapa Instituc Corrupc 2023'!$O$28),"")</f>
        <v/>
      </c>
      <c r="AC29" s="52" t="str">
        <f>IF(AND('Mapa Instituc Corrupc 2023'!$Y$29="Media",'Mapa Instituc Corrupc 2023'!$AA$29="Mayor"),CONCATENATE("R4C",'Mapa Instituc Corrupc 2023'!$O$29),"")</f>
        <v/>
      </c>
      <c r="AD29" s="57" t="str">
        <f>IF(AND('Mapa Instituc Corrupc 2023'!$Y$30="Media",'Mapa Instituc Corrupc 2023'!$AA$30="Mayor"),CONCATENATE("R4C",'Mapa Instituc Corrupc 2023'!$O$30),"")</f>
        <v/>
      </c>
      <c r="AE29" s="57" t="str">
        <f>IF(AND('Mapa Instituc Corrupc 2023'!$Y$31="Media",'Mapa Instituc Corrupc 2023'!$AA$31="Mayor"),CONCATENATE("R4C",'Mapa Instituc Corrupc 2023'!$O$31),"")</f>
        <v/>
      </c>
      <c r="AF29" s="57" t="str">
        <f>IF(AND('Mapa Instituc Corrupc 2023'!$Y$32="Media",'Mapa Instituc Corrupc 2023'!$AA$32="Mayor"),CONCATENATE("R4C",'Mapa Instituc Corrupc 2023'!$O$32),"")</f>
        <v/>
      </c>
      <c r="AG29" s="53" t="str">
        <f>IF(AND('Mapa Instituc Corrupc 2023'!$Y$33="Media",'Mapa Instituc Corrupc 2023'!$AA$33="Mayor"),CONCATENATE("R4C",'Mapa Instituc Corrupc 2023'!$O$33),"")</f>
        <v/>
      </c>
      <c r="AH29" s="54" t="str">
        <f>IF(AND('Mapa Instituc Corrupc 2023'!$Y$28="Media",'Mapa Instituc Corrupc 2023'!$AA$28="Catastrófico"),CONCATENATE("R4C",'Mapa Instituc Corrupc 2023'!$O$28),"")</f>
        <v/>
      </c>
      <c r="AI29" s="55" t="str">
        <f>IF(AND('Mapa Instituc Corrupc 2023'!$Y$29="Media",'Mapa Instituc Corrupc 2023'!$AA$29="Catastrófico"),CONCATENATE("R4C",'Mapa Instituc Corrupc 2023'!$O$29),"")</f>
        <v/>
      </c>
      <c r="AJ29" s="55" t="str">
        <f>IF(AND('Mapa Instituc Corrupc 2023'!$Y$30="Media",'Mapa Instituc Corrupc 2023'!$AA$30="Catastrófico"),CONCATENATE("R4C",'Mapa Instituc Corrupc 2023'!$O$30),"")</f>
        <v/>
      </c>
      <c r="AK29" s="55" t="str">
        <f>IF(AND('Mapa Instituc Corrupc 2023'!$Y$31="Media",'Mapa Instituc Corrupc 2023'!$AA$31="Catastrófico"),CONCATENATE("R4C",'Mapa Instituc Corrupc 2023'!$O$31),"")</f>
        <v/>
      </c>
      <c r="AL29" s="55" t="str">
        <f>IF(AND('Mapa Instituc Corrupc 2023'!$Y$32="Media",'Mapa Instituc Corrupc 2023'!$AA$32="Catastrófico"),CONCATENATE("R4C",'Mapa Instituc Corrupc 2023'!$O$32),"")</f>
        <v/>
      </c>
      <c r="AM29" s="56" t="str">
        <f>IF(AND('Mapa Instituc Corrupc 2023'!$Y$33="Media",'Mapa Instituc Corrupc 2023'!$AA$33="Catastrófico"),CONCATENATE("R4C",'Mapa Instituc Corrupc 2023'!$O$33),"")</f>
        <v/>
      </c>
      <c r="AN29" s="83"/>
      <c r="AO29" s="511"/>
      <c r="AP29" s="512"/>
      <c r="AQ29" s="512"/>
      <c r="AR29" s="512"/>
      <c r="AS29" s="512"/>
      <c r="AT29" s="51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380"/>
      <c r="C30" s="380"/>
      <c r="D30" s="381"/>
      <c r="E30" s="481"/>
      <c r="F30" s="482"/>
      <c r="G30" s="482"/>
      <c r="H30" s="482"/>
      <c r="I30" s="497"/>
      <c r="J30" s="67" t="str">
        <f>IF(AND('Mapa Instituc Corrupc 2023'!$Y$34="Media",'Mapa Instituc Corrupc 2023'!$AA$34="Leve"),CONCATENATE("R5C",'Mapa Instituc Corrupc 2023'!$O$34),"")</f>
        <v/>
      </c>
      <c r="K30" s="68" t="str">
        <f>IF(AND('Mapa Instituc Corrupc 2023'!$Y$35="Media",'Mapa Instituc Corrupc 2023'!$AA$35="Leve"),CONCATENATE("R5C",'Mapa Instituc Corrupc 2023'!$O$35),"")</f>
        <v/>
      </c>
      <c r="L30" s="68" t="str">
        <f>IF(AND('Mapa Instituc Corrupc 2023'!$Y$36="Media",'Mapa Instituc Corrupc 2023'!$AA$36="Leve"),CONCATENATE("R5C",'Mapa Instituc Corrupc 2023'!$O$36),"")</f>
        <v/>
      </c>
      <c r="M30" s="68" t="str">
        <f>IF(AND('Mapa Instituc Corrupc 2023'!$Y$37="Media",'Mapa Instituc Corrupc 2023'!$AA$37="Leve"),CONCATENATE("R5C",'Mapa Instituc Corrupc 2023'!$O$37),"")</f>
        <v/>
      </c>
      <c r="N30" s="68" t="str">
        <f>IF(AND('Mapa Instituc Corrupc 2023'!$Y$38="Media",'Mapa Instituc Corrupc 2023'!$AA$38="Leve"),CONCATENATE("R5C",'Mapa Instituc Corrupc 2023'!$O$38),"")</f>
        <v/>
      </c>
      <c r="O30" s="69" t="str">
        <f>IF(AND('Mapa Instituc Corrupc 2023'!$Y$39="Media",'Mapa Instituc Corrupc 2023'!$AA$39="Leve"),CONCATENATE("R5C",'Mapa Instituc Corrupc 2023'!$O$39),"")</f>
        <v/>
      </c>
      <c r="P30" s="67" t="str">
        <f>IF(AND('Mapa Instituc Corrupc 2023'!$Y$34="Media",'Mapa Instituc Corrupc 2023'!$AA$34="Menor"),CONCATENATE("R5C",'Mapa Instituc Corrupc 2023'!$O$34),"")</f>
        <v/>
      </c>
      <c r="Q30" s="68" t="str">
        <f>IF(AND('Mapa Instituc Corrupc 2023'!$Y$35="Media",'Mapa Instituc Corrupc 2023'!$AA$35="Menor"),CONCATENATE("R5C",'Mapa Instituc Corrupc 2023'!$O$35),"")</f>
        <v/>
      </c>
      <c r="R30" s="68" t="str">
        <f>IF(AND('Mapa Instituc Corrupc 2023'!$Y$36="Media",'Mapa Instituc Corrupc 2023'!$AA$36="Menor"),CONCATENATE("R5C",'Mapa Instituc Corrupc 2023'!$O$36),"")</f>
        <v/>
      </c>
      <c r="S30" s="68" t="str">
        <f>IF(AND('Mapa Instituc Corrupc 2023'!$Y$37="Media",'Mapa Instituc Corrupc 2023'!$AA$37="Menor"),CONCATENATE("R5C",'Mapa Instituc Corrupc 2023'!$O$37),"")</f>
        <v/>
      </c>
      <c r="T30" s="68" t="str">
        <f>IF(AND('Mapa Instituc Corrupc 2023'!$Y$38="Media",'Mapa Instituc Corrupc 2023'!$AA$38="Menor"),CONCATENATE("R5C",'Mapa Instituc Corrupc 2023'!$O$38),"")</f>
        <v/>
      </c>
      <c r="U30" s="69" t="str">
        <f>IF(AND('Mapa Instituc Corrupc 2023'!$Y$39="Media",'Mapa Instituc Corrupc 2023'!$AA$39="Menor"),CONCATENATE("R5C",'Mapa Instituc Corrupc 2023'!$O$39),"")</f>
        <v/>
      </c>
      <c r="V30" s="67" t="str">
        <f>IF(AND('Mapa Instituc Corrupc 2023'!$Y$34="Media",'Mapa Instituc Corrupc 2023'!$AA$34="Moderado"),CONCATENATE("R5C",'Mapa Instituc Corrupc 2023'!$O$34),"")</f>
        <v/>
      </c>
      <c r="W30" s="68" t="str">
        <f>IF(AND('Mapa Instituc Corrupc 2023'!$Y$35="Media",'Mapa Instituc Corrupc 2023'!$AA$35="Moderado"),CONCATENATE("R5C",'Mapa Instituc Corrupc 2023'!$O$35),"")</f>
        <v/>
      </c>
      <c r="X30" s="68" t="str">
        <f>IF(AND('Mapa Instituc Corrupc 2023'!$Y$36="Media",'Mapa Instituc Corrupc 2023'!$AA$36="Moderado"),CONCATENATE("R5C",'Mapa Instituc Corrupc 2023'!$O$36),"")</f>
        <v/>
      </c>
      <c r="Y30" s="68" t="str">
        <f>IF(AND('Mapa Instituc Corrupc 2023'!$Y$37="Media",'Mapa Instituc Corrupc 2023'!$AA$37="Moderado"),CONCATENATE("R5C",'Mapa Instituc Corrupc 2023'!$O$37),"")</f>
        <v/>
      </c>
      <c r="Z30" s="68" t="str">
        <f>IF(AND('Mapa Instituc Corrupc 2023'!$Y$38="Media",'Mapa Instituc Corrupc 2023'!$AA$38="Moderado"),CONCATENATE("R5C",'Mapa Instituc Corrupc 2023'!$O$38),"")</f>
        <v/>
      </c>
      <c r="AA30" s="69" t="str">
        <f>IF(AND('Mapa Instituc Corrupc 2023'!$Y$39="Media",'Mapa Instituc Corrupc 2023'!$AA$39="Moderado"),CONCATENATE("R5C",'Mapa Instituc Corrupc 2023'!$O$39),"")</f>
        <v/>
      </c>
      <c r="AB30" s="51" t="str">
        <f>IF(AND('Mapa Instituc Corrupc 2023'!$Y$34="Media",'Mapa Instituc Corrupc 2023'!$AA$34="Mayor"),CONCATENATE("R5C",'Mapa Instituc Corrupc 2023'!$O$34),"")</f>
        <v/>
      </c>
      <c r="AC30" s="52" t="str">
        <f>IF(AND('Mapa Instituc Corrupc 2023'!$Y$35="Media",'Mapa Instituc Corrupc 2023'!$AA$35="Mayor"),CONCATENATE("R5C",'Mapa Instituc Corrupc 2023'!$O$35),"")</f>
        <v/>
      </c>
      <c r="AD30" s="57" t="str">
        <f>IF(AND('Mapa Instituc Corrupc 2023'!$Y$36="Media",'Mapa Instituc Corrupc 2023'!$AA$36="Mayor"),CONCATENATE("R5C",'Mapa Instituc Corrupc 2023'!$O$36),"")</f>
        <v/>
      </c>
      <c r="AE30" s="57" t="str">
        <f>IF(AND('Mapa Instituc Corrupc 2023'!$Y$37="Media",'Mapa Instituc Corrupc 2023'!$AA$37="Mayor"),CONCATENATE("R5C",'Mapa Instituc Corrupc 2023'!$O$37),"")</f>
        <v/>
      </c>
      <c r="AF30" s="57" t="str">
        <f>IF(AND('Mapa Instituc Corrupc 2023'!$Y$38="Media",'Mapa Instituc Corrupc 2023'!$AA$38="Mayor"),CONCATENATE("R5C",'Mapa Instituc Corrupc 2023'!$O$38),"")</f>
        <v/>
      </c>
      <c r="AG30" s="53" t="str">
        <f>IF(AND('Mapa Instituc Corrupc 2023'!$Y$39="Media",'Mapa Instituc Corrupc 2023'!$AA$39="Mayor"),CONCATENATE("R5C",'Mapa Instituc Corrupc 2023'!$O$39),"")</f>
        <v/>
      </c>
      <c r="AH30" s="54" t="str">
        <f>IF(AND('Mapa Instituc Corrupc 2023'!$Y$34="Media",'Mapa Instituc Corrupc 2023'!$AA$34="Catastrófico"),CONCATENATE("R5C",'Mapa Instituc Corrupc 2023'!$O$34),"")</f>
        <v/>
      </c>
      <c r="AI30" s="55" t="str">
        <f>IF(AND('Mapa Instituc Corrupc 2023'!$Y$35="Media",'Mapa Instituc Corrupc 2023'!$AA$35="Catastrófico"),CONCATENATE("R5C",'Mapa Instituc Corrupc 2023'!$O$35),"")</f>
        <v/>
      </c>
      <c r="AJ30" s="55" t="str">
        <f>IF(AND('Mapa Instituc Corrupc 2023'!$Y$36="Media",'Mapa Instituc Corrupc 2023'!$AA$36="Catastrófico"),CONCATENATE("R5C",'Mapa Instituc Corrupc 2023'!$O$36),"")</f>
        <v/>
      </c>
      <c r="AK30" s="55" t="str">
        <f>IF(AND('Mapa Instituc Corrupc 2023'!$Y$37="Media",'Mapa Instituc Corrupc 2023'!$AA$37="Catastrófico"),CONCATENATE("R5C",'Mapa Instituc Corrupc 2023'!$O$37),"")</f>
        <v/>
      </c>
      <c r="AL30" s="55" t="str">
        <f>IF(AND('Mapa Instituc Corrupc 2023'!$Y$38="Media",'Mapa Instituc Corrupc 2023'!$AA$38="Catastrófico"),CONCATENATE("R5C",'Mapa Instituc Corrupc 2023'!$O$38),"")</f>
        <v/>
      </c>
      <c r="AM30" s="56" t="str">
        <f>IF(AND('Mapa Instituc Corrupc 2023'!$Y$39="Media",'Mapa Instituc Corrupc 2023'!$AA$39="Catastrófico"),CONCATENATE("R5C",'Mapa Instituc Corrupc 2023'!$O$39),"")</f>
        <v/>
      </c>
      <c r="AN30" s="83"/>
      <c r="AO30" s="511"/>
      <c r="AP30" s="512"/>
      <c r="AQ30" s="512"/>
      <c r="AR30" s="512"/>
      <c r="AS30" s="512"/>
      <c r="AT30" s="51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380"/>
      <c r="C31" s="380"/>
      <c r="D31" s="381"/>
      <c r="E31" s="481"/>
      <c r="F31" s="482"/>
      <c r="G31" s="482"/>
      <c r="H31" s="482"/>
      <c r="I31" s="497"/>
      <c r="J31" s="67" t="str">
        <f>IF(AND('Mapa Instituc Corrupc 2023'!$Y$40="Media",'Mapa Instituc Corrupc 2023'!$AA$40="Leve"),CONCATENATE("R6C",'Mapa Instituc Corrupc 2023'!$O$40),"")</f>
        <v/>
      </c>
      <c r="K31" s="68" t="str">
        <f>IF(AND('Mapa Instituc Corrupc 2023'!$Y$41="Media",'Mapa Instituc Corrupc 2023'!$AA$41="Leve"),CONCATENATE("R6C",'Mapa Instituc Corrupc 2023'!$O$41),"")</f>
        <v/>
      </c>
      <c r="L31" s="68" t="str">
        <f>IF(AND('Mapa Instituc Corrupc 2023'!$Y$42="Media",'Mapa Instituc Corrupc 2023'!$AA$42="Leve"),CONCATENATE("R6C",'Mapa Instituc Corrupc 2023'!$O$42),"")</f>
        <v/>
      </c>
      <c r="M31" s="68" t="str">
        <f>IF(AND('Mapa Instituc Corrupc 2023'!$Y$43="Media",'Mapa Instituc Corrupc 2023'!$AA$43="Leve"),CONCATENATE("R6C",'Mapa Instituc Corrupc 2023'!$O$43),"")</f>
        <v/>
      </c>
      <c r="N31" s="68" t="str">
        <f>IF(AND('Mapa Instituc Corrupc 2023'!$Y$44="Media",'Mapa Instituc Corrupc 2023'!$AA$44="Leve"),CONCATENATE("R6C",'Mapa Instituc Corrupc 2023'!$O$44),"")</f>
        <v/>
      </c>
      <c r="O31" s="69" t="str">
        <f>IF(AND('Mapa Instituc Corrupc 2023'!$Y$45="Media",'Mapa Instituc Corrupc 2023'!$AA$45="Leve"),CONCATENATE("R6C",'Mapa Instituc Corrupc 2023'!$O$45),"")</f>
        <v/>
      </c>
      <c r="P31" s="67" t="str">
        <f>IF(AND('Mapa Instituc Corrupc 2023'!$Y$40="Media",'Mapa Instituc Corrupc 2023'!$AA$40="Menor"),CONCATENATE("R6C",'Mapa Instituc Corrupc 2023'!$O$40),"")</f>
        <v/>
      </c>
      <c r="Q31" s="68" t="str">
        <f>IF(AND('Mapa Instituc Corrupc 2023'!$Y$41="Media",'Mapa Instituc Corrupc 2023'!$AA$41="Menor"),CONCATENATE("R6C",'Mapa Instituc Corrupc 2023'!$O$41),"")</f>
        <v/>
      </c>
      <c r="R31" s="68" t="str">
        <f>IF(AND('Mapa Instituc Corrupc 2023'!$Y$42="Media",'Mapa Instituc Corrupc 2023'!$AA$42="Menor"),CONCATENATE("R6C",'Mapa Instituc Corrupc 2023'!$O$42),"")</f>
        <v/>
      </c>
      <c r="S31" s="68" t="str">
        <f>IF(AND('Mapa Instituc Corrupc 2023'!$Y$43="Media",'Mapa Instituc Corrupc 2023'!$AA$43="Menor"),CONCATENATE("R6C",'Mapa Instituc Corrupc 2023'!$O$43),"")</f>
        <v/>
      </c>
      <c r="T31" s="68" t="str">
        <f>IF(AND('Mapa Instituc Corrupc 2023'!$Y$44="Media",'Mapa Instituc Corrupc 2023'!$AA$44="Menor"),CONCATENATE("R6C",'Mapa Instituc Corrupc 2023'!$O$44),"")</f>
        <v/>
      </c>
      <c r="U31" s="69" t="str">
        <f>IF(AND('Mapa Instituc Corrupc 2023'!$Y$45="Media",'Mapa Instituc Corrupc 2023'!$AA$45="Menor"),CONCATENATE("R6C",'Mapa Instituc Corrupc 2023'!$O$45),"")</f>
        <v/>
      </c>
      <c r="V31" s="67" t="str">
        <f>IF(AND('Mapa Instituc Corrupc 2023'!$Y$40="Media",'Mapa Instituc Corrupc 2023'!$AA$40="Moderado"),CONCATENATE("R6C",'Mapa Instituc Corrupc 2023'!$O$40),"")</f>
        <v/>
      </c>
      <c r="W31" s="68" t="str">
        <f>IF(AND('Mapa Instituc Corrupc 2023'!$Y$41="Media",'Mapa Instituc Corrupc 2023'!$AA$41="Moderado"),CONCATENATE("R6C",'Mapa Instituc Corrupc 2023'!$O$41),"")</f>
        <v/>
      </c>
      <c r="X31" s="68" t="str">
        <f>IF(AND('Mapa Instituc Corrupc 2023'!$Y$42="Media",'Mapa Instituc Corrupc 2023'!$AA$42="Moderado"),CONCATENATE("R6C",'Mapa Instituc Corrupc 2023'!$O$42),"")</f>
        <v/>
      </c>
      <c r="Y31" s="68" t="str">
        <f>IF(AND('Mapa Instituc Corrupc 2023'!$Y$43="Media",'Mapa Instituc Corrupc 2023'!$AA$43="Moderado"),CONCATENATE("R6C",'Mapa Instituc Corrupc 2023'!$O$43),"")</f>
        <v/>
      </c>
      <c r="Z31" s="68" t="str">
        <f>IF(AND('Mapa Instituc Corrupc 2023'!$Y$44="Media",'Mapa Instituc Corrupc 2023'!$AA$44="Moderado"),CONCATENATE("R6C",'Mapa Instituc Corrupc 2023'!$O$44),"")</f>
        <v/>
      </c>
      <c r="AA31" s="69" t="str">
        <f>IF(AND('Mapa Instituc Corrupc 2023'!$Y$45="Media",'Mapa Instituc Corrupc 2023'!$AA$45="Moderado"),CONCATENATE("R6C",'Mapa Instituc Corrupc 2023'!$O$45),"")</f>
        <v/>
      </c>
      <c r="AB31" s="51" t="str">
        <f>IF(AND('Mapa Instituc Corrupc 2023'!$Y$40="Media",'Mapa Instituc Corrupc 2023'!$AA$40="Mayor"),CONCATENATE("R6C",'Mapa Instituc Corrupc 2023'!$O$40),"")</f>
        <v/>
      </c>
      <c r="AC31" s="52" t="str">
        <f>IF(AND('Mapa Instituc Corrupc 2023'!$Y$41="Media",'Mapa Instituc Corrupc 2023'!$AA$41="Mayor"),CONCATENATE("R6C",'Mapa Instituc Corrupc 2023'!$O$41),"")</f>
        <v/>
      </c>
      <c r="AD31" s="57" t="str">
        <f>IF(AND('Mapa Instituc Corrupc 2023'!$Y$42="Media",'Mapa Instituc Corrupc 2023'!$AA$42="Mayor"),CONCATENATE("R6C",'Mapa Instituc Corrupc 2023'!$O$42),"")</f>
        <v/>
      </c>
      <c r="AE31" s="57" t="str">
        <f>IF(AND('Mapa Instituc Corrupc 2023'!$Y$43="Media",'Mapa Instituc Corrupc 2023'!$AA$43="Mayor"),CONCATENATE("R6C",'Mapa Instituc Corrupc 2023'!$O$43),"")</f>
        <v/>
      </c>
      <c r="AF31" s="57" t="str">
        <f>IF(AND('Mapa Instituc Corrupc 2023'!$Y$44="Media",'Mapa Instituc Corrupc 2023'!$AA$44="Mayor"),CONCATENATE("R6C",'Mapa Instituc Corrupc 2023'!$O$44),"")</f>
        <v/>
      </c>
      <c r="AG31" s="53" t="str">
        <f>IF(AND('Mapa Instituc Corrupc 2023'!$Y$45="Media",'Mapa Instituc Corrupc 2023'!$AA$45="Mayor"),CONCATENATE("R6C",'Mapa Instituc Corrupc 2023'!$O$45),"")</f>
        <v/>
      </c>
      <c r="AH31" s="54" t="str">
        <f>IF(AND('Mapa Instituc Corrupc 2023'!$Y$40="Media",'Mapa Instituc Corrupc 2023'!$AA$40="Catastrófico"),CONCATENATE("R6C",'Mapa Instituc Corrupc 2023'!$O$40),"")</f>
        <v/>
      </c>
      <c r="AI31" s="55" t="str">
        <f>IF(AND('Mapa Instituc Corrupc 2023'!$Y$41="Media",'Mapa Instituc Corrupc 2023'!$AA$41="Catastrófico"),CONCATENATE("R6C",'Mapa Instituc Corrupc 2023'!$O$41),"")</f>
        <v/>
      </c>
      <c r="AJ31" s="55" t="str">
        <f>IF(AND('Mapa Instituc Corrupc 2023'!$Y$42="Media",'Mapa Instituc Corrupc 2023'!$AA$42="Catastrófico"),CONCATENATE("R6C",'Mapa Instituc Corrupc 2023'!$O$42),"")</f>
        <v/>
      </c>
      <c r="AK31" s="55" t="str">
        <f>IF(AND('Mapa Instituc Corrupc 2023'!$Y$43="Media",'Mapa Instituc Corrupc 2023'!$AA$43="Catastrófico"),CONCATENATE("R6C",'Mapa Instituc Corrupc 2023'!$O$43),"")</f>
        <v/>
      </c>
      <c r="AL31" s="55" t="str">
        <f>IF(AND('Mapa Instituc Corrupc 2023'!$Y$44="Media",'Mapa Instituc Corrupc 2023'!$AA$44="Catastrófico"),CONCATENATE("R6C",'Mapa Instituc Corrupc 2023'!$O$44),"")</f>
        <v/>
      </c>
      <c r="AM31" s="56" t="str">
        <f>IF(AND('Mapa Instituc Corrupc 2023'!$Y$45="Media",'Mapa Instituc Corrupc 2023'!$AA$45="Catastrófico"),CONCATENATE("R6C",'Mapa Instituc Corrupc 2023'!$O$45),"")</f>
        <v/>
      </c>
      <c r="AN31" s="83"/>
      <c r="AO31" s="511"/>
      <c r="AP31" s="512"/>
      <c r="AQ31" s="512"/>
      <c r="AR31" s="512"/>
      <c r="AS31" s="512"/>
      <c r="AT31" s="51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380"/>
      <c r="C32" s="380"/>
      <c r="D32" s="381"/>
      <c r="E32" s="481"/>
      <c r="F32" s="482"/>
      <c r="G32" s="482"/>
      <c r="H32" s="482"/>
      <c r="I32" s="497"/>
      <c r="J32" s="67" t="str">
        <f>IF(AND('Mapa Instituc Corrupc 2023'!$Y$46="Media",'Mapa Instituc Corrupc 2023'!$AA$46="Leve"),CONCATENATE("R7C",'Mapa Instituc Corrupc 2023'!$O$46),"")</f>
        <v/>
      </c>
      <c r="K32" s="68" t="str">
        <f>IF(AND('Mapa Instituc Corrupc 2023'!$Y$47="Media",'Mapa Instituc Corrupc 2023'!$AA$47="Leve"),CONCATENATE("R7C",'Mapa Instituc Corrupc 2023'!$O$47),"")</f>
        <v/>
      </c>
      <c r="L32" s="68" t="str">
        <f>IF(AND('Mapa Instituc Corrupc 2023'!$Y$48="Media",'Mapa Instituc Corrupc 2023'!$AA$48="Leve"),CONCATENATE("R7C",'Mapa Instituc Corrupc 2023'!$O$48),"")</f>
        <v/>
      </c>
      <c r="M32" s="68" t="str">
        <f>IF(AND('Mapa Instituc Corrupc 2023'!$Y$49="Media",'Mapa Instituc Corrupc 2023'!$AA$49="Leve"),CONCATENATE("R7C",'Mapa Instituc Corrupc 2023'!$O$49),"")</f>
        <v/>
      </c>
      <c r="N32" s="68" t="str">
        <f>IF(AND('Mapa Instituc Corrupc 2023'!$Y$50="Media",'Mapa Instituc Corrupc 2023'!$AA$50="Leve"),CONCATENATE("R7C",'Mapa Instituc Corrupc 2023'!$O$50),"")</f>
        <v/>
      </c>
      <c r="O32" s="69" t="str">
        <f>IF(AND('Mapa Instituc Corrupc 2023'!$Y$51="Media",'Mapa Instituc Corrupc 2023'!$AA$51="Leve"),CONCATENATE("R7C",'Mapa Instituc Corrupc 2023'!$O$51),"")</f>
        <v/>
      </c>
      <c r="P32" s="67" t="str">
        <f>IF(AND('Mapa Instituc Corrupc 2023'!$Y$46="Media",'Mapa Instituc Corrupc 2023'!$AA$46="Menor"),CONCATENATE("R7C",'Mapa Instituc Corrupc 2023'!$O$46),"")</f>
        <v/>
      </c>
      <c r="Q32" s="68" t="str">
        <f>IF(AND('Mapa Instituc Corrupc 2023'!$Y$47="Media",'Mapa Instituc Corrupc 2023'!$AA$47="Menor"),CONCATENATE("R7C",'Mapa Instituc Corrupc 2023'!$O$47),"")</f>
        <v/>
      </c>
      <c r="R32" s="68" t="str">
        <f>IF(AND('Mapa Instituc Corrupc 2023'!$Y$48="Media",'Mapa Instituc Corrupc 2023'!$AA$48="Menor"),CONCATENATE("R7C",'Mapa Instituc Corrupc 2023'!$O$48),"")</f>
        <v/>
      </c>
      <c r="S32" s="68" t="str">
        <f>IF(AND('Mapa Instituc Corrupc 2023'!$Y$49="Media",'Mapa Instituc Corrupc 2023'!$AA$49="Menor"),CONCATENATE("R7C",'Mapa Instituc Corrupc 2023'!$O$49),"")</f>
        <v/>
      </c>
      <c r="T32" s="68" t="str">
        <f>IF(AND('Mapa Instituc Corrupc 2023'!$Y$50="Media",'Mapa Instituc Corrupc 2023'!$AA$50="Menor"),CONCATENATE("R7C",'Mapa Instituc Corrupc 2023'!$O$50),"")</f>
        <v/>
      </c>
      <c r="U32" s="69" t="str">
        <f>IF(AND('Mapa Instituc Corrupc 2023'!$Y$51="Media",'Mapa Instituc Corrupc 2023'!$AA$51="Menor"),CONCATENATE("R7C",'Mapa Instituc Corrupc 2023'!$O$51),"")</f>
        <v/>
      </c>
      <c r="V32" s="67" t="str">
        <f>IF(AND('Mapa Instituc Corrupc 2023'!$Y$46="Media",'Mapa Instituc Corrupc 2023'!$AA$46="Moderado"),CONCATENATE("R7C",'Mapa Instituc Corrupc 2023'!$O$46),"")</f>
        <v/>
      </c>
      <c r="W32" s="68" t="str">
        <f>IF(AND('Mapa Instituc Corrupc 2023'!$Y$47="Media",'Mapa Instituc Corrupc 2023'!$AA$47="Moderado"),CONCATENATE("R7C",'Mapa Instituc Corrupc 2023'!$O$47),"")</f>
        <v/>
      </c>
      <c r="X32" s="68" t="str">
        <f>IF(AND('Mapa Instituc Corrupc 2023'!$Y$48="Media",'Mapa Instituc Corrupc 2023'!$AA$48="Moderado"),CONCATENATE("R7C",'Mapa Instituc Corrupc 2023'!$O$48),"")</f>
        <v/>
      </c>
      <c r="Y32" s="68" t="str">
        <f>IF(AND('Mapa Instituc Corrupc 2023'!$Y$49="Media",'Mapa Instituc Corrupc 2023'!$AA$49="Moderado"),CONCATENATE("R7C",'Mapa Instituc Corrupc 2023'!$O$49),"")</f>
        <v/>
      </c>
      <c r="Z32" s="68" t="str">
        <f>IF(AND('Mapa Instituc Corrupc 2023'!$Y$50="Media",'Mapa Instituc Corrupc 2023'!$AA$50="Moderado"),CONCATENATE("R7C",'Mapa Instituc Corrupc 2023'!$O$50),"")</f>
        <v/>
      </c>
      <c r="AA32" s="69" t="str">
        <f>IF(AND('Mapa Instituc Corrupc 2023'!$Y$51="Media",'Mapa Instituc Corrupc 2023'!$AA$51="Moderado"),CONCATENATE("R7C",'Mapa Instituc Corrupc 2023'!$O$51),"")</f>
        <v/>
      </c>
      <c r="AB32" s="51" t="str">
        <f>IF(AND('Mapa Instituc Corrupc 2023'!$Y$46="Media",'Mapa Instituc Corrupc 2023'!$AA$46="Mayor"),CONCATENATE("R7C",'Mapa Instituc Corrupc 2023'!$O$46),"")</f>
        <v/>
      </c>
      <c r="AC32" s="52" t="str">
        <f>IF(AND('Mapa Instituc Corrupc 2023'!$Y$47="Media",'Mapa Instituc Corrupc 2023'!$AA$47="Mayor"),CONCATENATE("R7C",'Mapa Instituc Corrupc 2023'!$O$47),"")</f>
        <v/>
      </c>
      <c r="AD32" s="57" t="str">
        <f>IF(AND('Mapa Instituc Corrupc 2023'!$Y$48="Media",'Mapa Instituc Corrupc 2023'!$AA$48="Mayor"),CONCATENATE("R7C",'Mapa Instituc Corrupc 2023'!$O$48),"")</f>
        <v/>
      </c>
      <c r="AE32" s="57" t="str">
        <f>IF(AND('Mapa Instituc Corrupc 2023'!$Y$49="Media",'Mapa Instituc Corrupc 2023'!$AA$49="Mayor"),CONCATENATE("R7C",'Mapa Instituc Corrupc 2023'!$O$49),"")</f>
        <v/>
      </c>
      <c r="AF32" s="57" t="str">
        <f>IF(AND('Mapa Instituc Corrupc 2023'!$Y$50="Media",'Mapa Instituc Corrupc 2023'!$AA$50="Mayor"),CONCATENATE("R7C",'Mapa Instituc Corrupc 2023'!$O$50),"")</f>
        <v/>
      </c>
      <c r="AG32" s="53" t="str">
        <f>IF(AND('Mapa Instituc Corrupc 2023'!$Y$51="Media",'Mapa Instituc Corrupc 2023'!$AA$51="Mayor"),CONCATENATE("R7C",'Mapa Instituc Corrupc 2023'!$O$51),"")</f>
        <v/>
      </c>
      <c r="AH32" s="54" t="str">
        <f>IF(AND('Mapa Instituc Corrupc 2023'!$Y$46="Media",'Mapa Instituc Corrupc 2023'!$AA$46="Catastrófico"),CONCATENATE("R7C",'Mapa Instituc Corrupc 2023'!$O$46),"")</f>
        <v/>
      </c>
      <c r="AI32" s="55" t="str">
        <f>IF(AND('Mapa Instituc Corrupc 2023'!$Y$47="Media",'Mapa Instituc Corrupc 2023'!$AA$47="Catastrófico"),CONCATENATE("R7C",'Mapa Instituc Corrupc 2023'!$O$47),"")</f>
        <v/>
      </c>
      <c r="AJ32" s="55" t="str">
        <f>IF(AND('Mapa Instituc Corrupc 2023'!$Y$48="Media",'Mapa Instituc Corrupc 2023'!$AA$48="Catastrófico"),CONCATENATE("R7C",'Mapa Instituc Corrupc 2023'!$O$48),"")</f>
        <v/>
      </c>
      <c r="AK32" s="55" t="str">
        <f>IF(AND('Mapa Instituc Corrupc 2023'!$Y$49="Media",'Mapa Instituc Corrupc 2023'!$AA$49="Catastrófico"),CONCATENATE("R7C",'Mapa Instituc Corrupc 2023'!$O$49),"")</f>
        <v/>
      </c>
      <c r="AL32" s="55" t="str">
        <f>IF(AND('Mapa Instituc Corrupc 2023'!$Y$50="Media",'Mapa Instituc Corrupc 2023'!$AA$50="Catastrófico"),CONCATENATE("R7C",'Mapa Instituc Corrupc 2023'!$O$50),"")</f>
        <v/>
      </c>
      <c r="AM32" s="56" t="str">
        <f>IF(AND('Mapa Instituc Corrupc 2023'!$Y$51="Media",'Mapa Instituc Corrupc 2023'!$AA$51="Catastrófico"),CONCATENATE("R7C",'Mapa Instituc Corrupc 2023'!$O$51),"")</f>
        <v/>
      </c>
      <c r="AN32" s="83"/>
      <c r="AO32" s="511"/>
      <c r="AP32" s="512"/>
      <c r="AQ32" s="512"/>
      <c r="AR32" s="512"/>
      <c r="AS32" s="512"/>
      <c r="AT32" s="51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380"/>
      <c r="C33" s="380"/>
      <c r="D33" s="381"/>
      <c r="E33" s="481"/>
      <c r="F33" s="482"/>
      <c r="G33" s="482"/>
      <c r="H33" s="482"/>
      <c r="I33" s="497"/>
      <c r="J33" s="67" t="str">
        <f>IF(AND('Mapa Instituc Corrupc 2023'!$Y$52="Media",'Mapa Instituc Corrupc 2023'!$AA$52="Leve"),CONCATENATE("R8C",'Mapa Instituc Corrupc 2023'!$O$52),"")</f>
        <v/>
      </c>
      <c r="K33" s="68" t="str">
        <f>IF(AND('Mapa Instituc Corrupc 2023'!$Y$53="Media",'Mapa Instituc Corrupc 2023'!$AA$53="Leve"),CONCATENATE("R8C",'Mapa Instituc Corrupc 2023'!$O$53),"")</f>
        <v/>
      </c>
      <c r="L33" s="68" t="str">
        <f>IF(AND('Mapa Instituc Corrupc 2023'!$Y$54="Media",'Mapa Instituc Corrupc 2023'!$AA$54="Leve"),CONCATENATE("R8C",'Mapa Instituc Corrupc 2023'!$O$54),"")</f>
        <v/>
      </c>
      <c r="M33" s="68" t="str">
        <f>IF(AND('Mapa Instituc Corrupc 2023'!$Y$55="Media",'Mapa Instituc Corrupc 2023'!$AA$55="Leve"),CONCATENATE("R8C",'Mapa Instituc Corrupc 2023'!$O$55),"")</f>
        <v/>
      </c>
      <c r="N33" s="68" t="str">
        <f>IF(AND('Mapa Instituc Corrupc 2023'!$Y$56="Media",'Mapa Instituc Corrupc 2023'!$AA$56="Leve"),CONCATENATE("R8C",'Mapa Instituc Corrupc 2023'!$O$56),"")</f>
        <v/>
      </c>
      <c r="O33" s="69" t="str">
        <f>IF(AND('Mapa Instituc Corrupc 2023'!$Y$57="Media",'Mapa Instituc Corrupc 2023'!$AA$57="Leve"),CONCATENATE("R8C",'Mapa Instituc Corrupc 2023'!$O$57),"")</f>
        <v/>
      </c>
      <c r="P33" s="67" t="str">
        <f>IF(AND('Mapa Instituc Corrupc 2023'!$Y$52="Media",'Mapa Instituc Corrupc 2023'!$AA$52="Menor"),CONCATENATE("R8C",'Mapa Instituc Corrupc 2023'!$O$52),"")</f>
        <v/>
      </c>
      <c r="Q33" s="68" t="str">
        <f>IF(AND('Mapa Instituc Corrupc 2023'!$Y$53="Media",'Mapa Instituc Corrupc 2023'!$AA$53="Menor"),CONCATENATE("R8C",'Mapa Instituc Corrupc 2023'!$O$53),"")</f>
        <v/>
      </c>
      <c r="R33" s="68" t="str">
        <f>IF(AND('Mapa Instituc Corrupc 2023'!$Y$54="Media",'Mapa Instituc Corrupc 2023'!$AA$54="Menor"),CONCATENATE("R8C",'Mapa Instituc Corrupc 2023'!$O$54),"")</f>
        <v/>
      </c>
      <c r="S33" s="68" t="str">
        <f>IF(AND('Mapa Instituc Corrupc 2023'!$Y$55="Media",'Mapa Instituc Corrupc 2023'!$AA$55="Menor"),CONCATENATE("R8C",'Mapa Instituc Corrupc 2023'!$O$55),"")</f>
        <v/>
      </c>
      <c r="T33" s="68" t="str">
        <f>IF(AND('Mapa Instituc Corrupc 2023'!$Y$56="Media",'Mapa Instituc Corrupc 2023'!$AA$56="Menor"),CONCATENATE("R8C",'Mapa Instituc Corrupc 2023'!$O$56),"")</f>
        <v/>
      </c>
      <c r="U33" s="69" t="str">
        <f>IF(AND('Mapa Instituc Corrupc 2023'!$Y$57="Media",'Mapa Instituc Corrupc 2023'!$AA$57="Menor"),CONCATENATE("R8C",'Mapa Instituc Corrupc 2023'!$O$57),"")</f>
        <v/>
      </c>
      <c r="V33" s="67" t="str">
        <f>IF(AND('Mapa Instituc Corrupc 2023'!$Y$52="Media",'Mapa Instituc Corrupc 2023'!$AA$52="Moderado"),CONCATENATE("R8C",'Mapa Instituc Corrupc 2023'!$O$52),"")</f>
        <v/>
      </c>
      <c r="W33" s="68" t="str">
        <f>IF(AND('Mapa Instituc Corrupc 2023'!$Y$53="Media",'Mapa Instituc Corrupc 2023'!$AA$53="Moderado"),CONCATENATE("R8C",'Mapa Instituc Corrupc 2023'!$O$53),"")</f>
        <v/>
      </c>
      <c r="X33" s="68" t="str">
        <f>IF(AND('Mapa Instituc Corrupc 2023'!$Y$54="Media",'Mapa Instituc Corrupc 2023'!$AA$54="Moderado"),CONCATENATE("R8C",'Mapa Instituc Corrupc 2023'!$O$54),"")</f>
        <v/>
      </c>
      <c r="Y33" s="68" t="str">
        <f>IF(AND('Mapa Instituc Corrupc 2023'!$Y$55="Media",'Mapa Instituc Corrupc 2023'!$AA$55="Moderado"),CONCATENATE("R8C",'Mapa Instituc Corrupc 2023'!$O$55),"")</f>
        <v/>
      </c>
      <c r="Z33" s="68" t="str">
        <f>IF(AND('Mapa Instituc Corrupc 2023'!$Y$56="Media",'Mapa Instituc Corrupc 2023'!$AA$56="Moderado"),CONCATENATE("R8C",'Mapa Instituc Corrupc 2023'!$O$56),"")</f>
        <v/>
      </c>
      <c r="AA33" s="69" t="str">
        <f>IF(AND('Mapa Instituc Corrupc 2023'!$Y$57="Media",'Mapa Instituc Corrupc 2023'!$AA$57="Moderado"),CONCATENATE("R8C",'Mapa Instituc Corrupc 2023'!$O$57),"")</f>
        <v/>
      </c>
      <c r="AB33" s="51" t="str">
        <f>IF(AND('Mapa Instituc Corrupc 2023'!$Y$52="Media",'Mapa Instituc Corrupc 2023'!$AA$52="Mayor"),CONCATENATE("R8C",'Mapa Instituc Corrupc 2023'!$O$52),"")</f>
        <v/>
      </c>
      <c r="AC33" s="52" t="str">
        <f>IF(AND('Mapa Instituc Corrupc 2023'!$Y$53="Media",'Mapa Instituc Corrupc 2023'!$AA$53="Mayor"),CONCATENATE("R8C",'Mapa Instituc Corrupc 2023'!$O$53),"")</f>
        <v/>
      </c>
      <c r="AD33" s="57" t="str">
        <f>IF(AND('Mapa Instituc Corrupc 2023'!$Y$54="Media",'Mapa Instituc Corrupc 2023'!$AA$54="Mayor"),CONCATENATE("R8C",'Mapa Instituc Corrupc 2023'!$O$54),"")</f>
        <v/>
      </c>
      <c r="AE33" s="57" t="str">
        <f>IF(AND('Mapa Instituc Corrupc 2023'!$Y$55="Media",'Mapa Instituc Corrupc 2023'!$AA$55="Mayor"),CONCATENATE("R8C",'Mapa Instituc Corrupc 2023'!$O$55),"")</f>
        <v/>
      </c>
      <c r="AF33" s="57" t="str">
        <f>IF(AND('Mapa Instituc Corrupc 2023'!$Y$56="Media",'Mapa Instituc Corrupc 2023'!$AA$56="Mayor"),CONCATENATE("R8C",'Mapa Instituc Corrupc 2023'!$O$56),"")</f>
        <v/>
      </c>
      <c r="AG33" s="53" t="str">
        <f>IF(AND('Mapa Instituc Corrupc 2023'!$Y$57="Media",'Mapa Instituc Corrupc 2023'!$AA$57="Mayor"),CONCATENATE("R8C",'Mapa Instituc Corrupc 2023'!$O$57),"")</f>
        <v/>
      </c>
      <c r="AH33" s="54" t="str">
        <f>IF(AND('Mapa Instituc Corrupc 2023'!$Y$52="Media",'Mapa Instituc Corrupc 2023'!$AA$52="Catastrófico"),CONCATENATE("R8C",'Mapa Instituc Corrupc 2023'!$O$52),"")</f>
        <v/>
      </c>
      <c r="AI33" s="55" t="str">
        <f>IF(AND('Mapa Instituc Corrupc 2023'!$Y$53="Media",'Mapa Instituc Corrupc 2023'!$AA$53="Catastrófico"),CONCATENATE("R8C",'Mapa Instituc Corrupc 2023'!$O$53),"")</f>
        <v/>
      </c>
      <c r="AJ33" s="55" t="str">
        <f>IF(AND('Mapa Instituc Corrupc 2023'!$Y$54="Media",'Mapa Instituc Corrupc 2023'!$AA$54="Catastrófico"),CONCATENATE("R8C",'Mapa Instituc Corrupc 2023'!$O$54),"")</f>
        <v/>
      </c>
      <c r="AK33" s="55" t="str">
        <f>IF(AND('Mapa Instituc Corrupc 2023'!$Y$55="Media",'Mapa Instituc Corrupc 2023'!$AA$55="Catastrófico"),CONCATENATE("R8C",'Mapa Instituc Corrupc 2023'!$O$55),"")</f>
        <v/>
      </c>
      <c r="AL33" s="55" t="str">
        <f>IF(AND('Mapa Instituc Corrupc 2023'!$Y$56="Media",'Mapa Instituc Corrupc 2023'!$AA$56="Catastrófico"),CONCATENATE("R8C",'Mapa Instituc Corrupc 2023'!$O$56),"")</f>
        <v/>
      </c>
      <c r="AM33" s="56" t="str">
        <f>IF(AND('Mapa Instituc Corrupc 2023'!$Y$57="Media",'Mapa Instituc Corrupc 2023'!$AA$57="Catastrófico"),CONCATENATE("R8C",'Mapa Instituc Corrupc 2023'!$O$57),"")</f>
        <v/>
      </c>
      <c r="AN33" s="83"/>
      <c r="AO33" s="511"/>
      <c r="AP33" s="512"/>
      <c r="AQ33" s="512"/>
      <c r="AR33" s="512"/>
      <c r="AS33" s="512"/>
      <c r="AT33" s="51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380"/>
      <c r="C34" s="380"/>
      <c r="D34" s="381"/>
      <c r="E34" s="481"/>
      <c r="F34" s="482"/>
      <c r="G34" s="482"/>
      <c r="H34" s="482"/>
      <c r="I34" s="497"/>
      <c r="J34" s="67" t="str">
        <f>IF(AND('Mapa Instituc Corrupc 2023'!$Y$58="Media",'Mapa Instituc Corrupc 2023'!$AA$58="Leve"),CONCATENATE("R9C",'Mapa Instituc Corrupc 2023'!$O$58),"")</f>
        <v/>
      </c>
      <c r="K34" s="68" t="str">
        <f>IF(AND('Mapa Instituc Corrupc 2023'!$Y$59="Media",'Mapa Instituc Corrupc 2023'!$AA$59="Leve"),CONCATENATE("R9C",'Mapa Instituc Corrupc 2023'!$O$59),"")</f>
        <v/>
      </c>
      <c r="L34" s="68" t="str">
        <f>IF(AND('Mapa Instituc Corrupc 2023'!$Y$60="Media",'Mapa Instituc Corrupc 2023'!$AA$60="Leve"),CONCATENATE("R9C",'Mapa Instituc Corrupc 2023'!$O$60),"")</f>
        <v/>
      </c>
      <c r="M34" s="68" t="str">
        <f>IF(AND('Mapa Instituc Corrupc 2023'!$Y$61="Media",'Mapa Instituc Corrupc 2023'!$AA$61="Leve"),CONCATENATE("R9C",'Mapa Instituc Corrupc 2023'!$O$61),"")</f>
        <v/>
      </c>
      <c r="N34" s="68" t="str">
        <f>IF(AND('Mapa Instituc Corrupc 2023'!$Y$62="Media",'Mapa Instituc Corrupc 2023'!$AA$62="Leve"),CONCATENATE("R9C",'Mapa Instituc Corrupc 2023'!$O$62),"")</f>
        <v/>
      </c>
      <c r="O34" s="69" t="str">
        <f>IF(AND('Mapa Instituc Corrupc 2023'!$Y$63="Media",'Mapa Instituc Corrupc 2023'!$AA$63="Leve"),CONCATENATE("R9C",'Mapa Instituc Corrupc 2023'!$O$63),"")</f>
        <v/>
      </c>
      <c r="P34" s="67" t="str">
        <f>IF(AND('Mapa Instituc Corrupc 2023'!$Y$58="Media",'Mapa Instituc Corrupc 2023'!$AA$58="Menor"),CONCATENATE("R9C",'Mapa Instituc Corrupc 2023'!$O$58),"")</f>
        <v/>
      </c>
      <c r="Q34" s="68" t="str">
        <f>IF(AND('Mapa Instituc Corrupc 2023'!$Y$59="Media",'Mapa Instituc Corrupc 2023'!$AA$59="Menor"),CONCATENATE("R9C",'Mapa Instituc Corrupc 2023'!$O$59),"")</f>
        <v/>
      </c>
      <c r="R34" s="68" t="str">
        <f>IF(AND('Mapa Instituc Corrupc 2023'!$Y$60="Media",'Mapa Instituc Corrupc 2023'!$AA$60="Menor"),CONCATENATE("R9C",'Mapa Instituc Corrupc 2023'!$O$60),"")</f>
        <v/>
      </c>
      <c r="S34" s="68" t="str">
        <f>IF(AND('Mapa Instituc Corrupc 2023'!$Y$61="Media",'Mapa Instituc Corrupc 2023'!$AA$61="Menor"),CONCATENATE("R9C",'Mapa Instituc Corrupc 2023'!$O$61),"")</f>
        <v/>
      </c>
      <c r="T34" s="68" t="str">
        <f>IF(AND('Mapa Instituc Corrupc 2023'!$Y$62="Media",'Mapa Instituc Corrupc 2023'!$AA$62="Menor"),CONCATENATE("R9C",'Mapa Instituc Corrupc 2023'!$O$62),"")</f>
        <v/>
      </c>
      <c r="U34" s="69" t="str">
        <f>IF(AND('Mapa Instituc Corrupc 2023'!$Y$63="Media",'Mapa Instituc Corrupc 2023'!$AA$63="Menor"),CONCATENATE("R9C",'Mapa Instituc Corrupc 2023'!$O$63),"")</f>
        <v/>
      </c>
      <c r="V34" s="67" t="str">
        <f>IF(AND('Mapa Instituc Corrupc 2023'!$Y$58="Media",'Mapa Instituc Corrupc 2023'!$AA$58="Moderado"),CONCATENATE("R9C",'Mapa Instituc Corrupc 2023'!$O$58),"")</f>
        <v/>
      </c>
      <c r="W34" s="68" t="str">
        <f>IF(AND('Mapa Instituc Corrupc 2023'!$Y$59="Media",'Mapa Instituc Corrupc 2023'!$AA$59="Moderado"),CONCATENATE("R9C",'Mapa Instituc Corrupc 2023'!$O$59),"")</f>
        <v/>
      </c>
      <c r="X34" s="68" t="str">
        <f>IF(AND('Mapa Instituc Corrupc 2023'!$Y$60="Media",'Mapa Instituc Corrupc 2023'!$AA$60="Moderado"),CONCATENATE("R9C",'Mapa Instituc Corrupc 2023'!$O$60),"")</f>
        <v/>
      </c>
      <c r="Y34" s="68" t="str">
        <f>IF(AND('Mapa Instituc Corrupc 2023'!$Y$61="Media",'Mapa Instituc Corrupc 2023'!$AA$61="Moderado"),CONCATENATE("R9C",'Mapa Instituc Corrupc 2023'!$O$61),"")</f>
        <v/>
      </c>
      <c r="Z34" s="68" t="str">
        <f>IF(AND('Mapa Instituc Corrupc 2023'!$Y$62="Media",'Mapa Instituc Corrupc 2023'!$AA$62="Moderado"),CONCATENATE("R9C",'Mapa Instituc Corrupc 2023'!$O$62),"")</f>
        <v/>
      </c>
      <c r="AA34" s="69" t="str">
        <f>IF(AND('Mapa Instituc Corrupc 2023'!$Y$63="Media",'Mapa Instituc Corrupc 2023'!$AA$63="Moderado"),CONCATENATE("R9C",'Mapa Instituc Corrupc 2023'!$O$63),"")</f>
        <v/>
      </c>
      <c r="AB34" s="51" t="str">
        <f>IF(AND('Mapa Instituc Corrupc 2023'!$Y$58="Media",'Mapa Instituc Corrupc 2023'!$AA$58="Mayor"),CONCATENATE("R9C",'Mapa Instituc Corrupc 2023'!$O$58),"")</f>
        <v/>
      </c>
      <c r="AC34" s="52" t="str">
        <f>IF(AND('Mapa Instituc Corrupc 2023'!$Y$59="Media",'Mapa Instituc Corrupc 2023'!$AA$59="Mayor"),CONCATENATE("R9C",'Mapa Instituc Corrupc 2023'!$O$59),"")</f>
        <v/>
      </c>
      <c r="AD34" s="57" t="str">
        <f>IF(AND('Mapa Instituc Corrupc 2023'!$Y$60="Media",'Mapa Instituc Corrupc 2023'!$AA$60="Mayor"),CONCATENATE("R9C",'Mapa Instituc Corrupc 2023'!$O$60),"")</f>
        <v/>
      </c>
      <c r="AE34" s="57" t="str">
        <f>IF(AND('Mapa Instituc Corrupc 2023'!$Y$61="Media",'Mapa Instituc Corrupc 2023'!$AA$61="Mayor"),CONCATENATE("R9C",'Mapa Instituc Corrupc 2023'!$O$61),"")</f>
        <v/>
      </c>
      <c r="AF34" s="57" t="str">
        <f>IF(AND('Mapa Instituc Corrupc 2023'!$Y$62="Media",'Mapa Instituc Corrupc 2023'!$AA$62="Mayor"),CONCATENATE("R9C",'Mapa Instituc Corrupc 2023'!$O$62),"")</f>
        <v/>
      </c>
      <c r="AG34" s="53" t="str">
        <f>IF(AND('Mapa Instituc Corrupc 2023'!$Y$63="Media",'Mapa Instituc Corrupc 2023'!$AA$63="Mayor"),CONCATENATE("R9C",'Mapa Instituc Corrupc 2023'!$O$63),"")</f>
        <v/>
      </c>
      <c r="AH34" s="54" t="str">
        <f>IF(AND('Mapa Instituc Corrupc 2023'!$Y$58="Media",'Mapa Instituc Corrupc 2023'!$AA$58="Catastrófico"),CONCATENATE("R9C",'Mapa Instituc Corrupc 2023'!$O$58),"")</f>
        <v/>
      </c>
      <c r="AI34" s="55" t="str">
        <f>IF(AND('Mapa Instituc Corrupc 2023'!$Y$59="Media",'Mapa Instituc Corrupc 2023'!$AA$59="Catastrófico"),CONCATENATE("R9C",'Mapa Instituc Corrupc 2023'!$O$59),"")</f>
        <v/>
      </c>
      <c r="AJ34" s="55" t="str">
        <f>IF(AND('Mapa Instituc Corrupc 2023'!$Y$60="Media",'Mapa Instituc Corrupc 2023'!$AA$60="Catastrófico"),CONCATENATE("R9C",'Mapa Instituc Corrupc 2023'!$O$60),"")</f>
        <v/>
      </c>
      <c r="AK34" s="55" t="str">
        <f>IF(AND('Mapa Instituc Corrupc 2023'!$Y$61="Media",'Mapa Instituc Corrupc 2023'!$AA$61="Catastrófico"),CONCATENATE("R9C",'Mapa Instituc Corrupc 2023'!$O$61),"")</f>
        <v/>
      </c>
      <c r="AL34" s="55" t="str">
        <f>IF(AND('Mapa Instituc Corrupc 2023'!$Y$62="Media",'Mapa Instituc Corrupc 2023'!$AA$62="Catastrófico"),CONCATENATE("R9C",'Mapa Instituc Corrupc 2023'!$O$62),"")</f>
        <v/>
      </c>
      <c r="AM34" s="56" t="str">
        <f>IF(AND('Mapa Instituc Corrupc 2023'!$Y$63="Media",'Mapa Instituc Corrupc 2023'!$AA$63="Catastrófico"),CONCATENATE("R9C",'Mapa Instituc Corrupc 2023'!$O$63),"")</f>
        <v/>
      </c>
      <c r="AN34" s="83"/>
      <c r="AO34" s="511"/>
      <c r="AP34" s="512"/>
      <c r="AQ34" s="512"/>
      <c r="AR34" s="512"/>
      <c r="AS34" s="512"/>
      <c r="AT34" s="51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380"/>
      <c r="C35" s="380"/>
      <c r="D35" s="381"/>
      <c r="E35" s="483"/>
      <c r="F35" s="484"/>
      <c r="G35" s="484"/>
      <c r="H35" s="484"/>
      <c r="I35" s="498"/>
      <c r="J35" s="67" t="str">
        <f>IF(AND('Mapa Instituc Corrupc 2023'!$Y$64="Media",'Mapa Instituc Corrupc 2023'!$AA$64="Leve"),CONCATENATE("R10C",'Mapa Instituc Corrupc 2023'!$O$64),"")</f>
        <v/>
      </c>
      <c r="K35" s="68" t="str">
        <f>IF(AND('Mapa Instituc Corrupc 2023'!$Y$65="Media",'Mapa Instituc Corrupc 2023'!$AA$65="Leve"),CONCATENATE("R10C",'Mapa Instituc Corrupc 2023'!$O$65),"")</f>
        <v/>
      </c>
      <c r="L35" s="68" t="str">
        <f>IF(AND('Mapa Instituc Corrupc 2023'!$Y$66="Media",'Mapa Instituc Corrupc 2023'!$AA$66="Leve"),CONCATENATE("R10C",'Mapa Instituc Corrupc 2023'!$O$66),"")</f>
        <v/>
      </c>
      <c r="M35" s="68" t="str">
        <f>IF(AND('Mapa Instituc Corrupc 2023'!$Y$67="Media",'Mapa Instituc Corrupc 2023'!$AA$67="Leve"),CONCATENATE("R10C",'Mapa Instituc Corrupc 2023'!$O$67),"")</f>
        <v/>
      </c>
      <c r="N35" s="68" t="str">
        <f>IF(AND('Mapa Instituc Corrupc 2023'!$Y$68="Media",'Mapa Instituc Corrupc 2023'!$AA$68="Leve"),CONCATENATE("R10C",'Mapa Instituc Corrupc 2023'!$O$68),"")</f>
        <v/>
      </c>
      <c r="O35" s="69" t="str">
        <f>IF(AND('Mapa Instituc Corrupc 2023'!$Y$69="Media",'Mapa Instituc Corrupc 2023'!$AA$69="Leve"),CONCATENATE("R10C",'Mapa Instituc Corrupc 2023'!$O$69),"")</f>
        <v/>
      </c>
      <c r="P35" s="67" t="str">
        <f>IF(AND('Mapa Instituc Corrupc 2023'!$Y$64="Media",'Mapa Instituc Corrupc 2023'!$AA$64="Menor"),CONCATENATE("R10C",'Mapa Instituc Corrupc 2023'!$O$64),"")</f>
        <v/>
      </c>
      <c r="Q35" s="68" t="str">
        <f>IF(AND('Mapa Instituc Corrupc 2023'!$Y$65="Media",'Mapa Instituc Corrupc 2023'!$AA$65="Menor"),CONCATENATE("R10C",'Mapa Instituc Corrupc 2023'!$O$65),"")</f>
        <v/>
      </c>
      <c r="R35" s="68" t="str">
        <f>IF(AND('Mapa Instituc Corrupc 2023'!$Y$66="Media",'Mapa Instituc Corrupc 2023'!$AA$66="Menor"),CONCATENATE("R10C",'Mapa Instituc Corrupc 2023'!$O$66),"")</f>
        <v/>
      </c>
      <c r="S35" s="68" t="str">
        <f>IF(AND('Mapa Instituc Corrupc 2023'!$Y$67="Media",'Mapa Instituc Corrupc 2023'!$AA$67="Menor"),CONCATENATE("R10C",'Mapa Instituc Corrupc 2023'!$O$67),"")</f>
        <v/>
      </c>
      <c r="T35" s="68" t="str">
        <f>IF(AND('Mapa Instituc Corrupc 2023'!$Y$68="Media",'Mapa Instituc Corrupc 2023'!$AA$68="Menor"),CONCATENATE("R10C",'Mapa Instituc Corrupc 2023'!$O$68),"")</f>
        <v/>
      </c>
      <c r="U35" s="69" t="str">
        <f>IF(AND('Mapa Instituc Corrupc 2023'!$Y$69="Media",'Mapa Instituc Corrupc 2023'!$AA$69="Menor"),CONCATENATE("R10C",'Mapa Instituc Corrupc 2023'!$O$69),"")</f>
        <v/>
      </c>
      <c r="V35" s="67" t="str">
        <f>IF(AND('Mapa Instituc Corrupc 2023'!$Y$64="Media",'Mapa Instituc Corrupc 2023'!$AA$64="Moderado"),CONCATENATE("R10C",'Mapa Instituc Corrupc 2023'!$O$64),"")</f>
        <v/>
      </c>
      <c r="W35" s="68" t="str">
        <f>IF(AND('Mapa Instituc Corrupc 2023'!$Y$65="Media",'Mapa Instituc Corrupc 2023'!$AA$65="Moderado"),CONCATENATE("R10C",'Mapa Instituc Corrupc 2023'!$O$65),"")</f>
        <v/>
      </c>
      <c r="X35" s="68" t="str">
        <f>IF(AND('Mapa Instituc Corrupc 2023'!$Y$66="Media",'Mapa Instituc Corrupc 2023'!$AA$66="Moderado"),CONCATENATE("R10C",'Mapa Instituc Corrupc 2023'!$O$66),"")</f>
        <v/>
      </c>
      <c r="Y35" s="68" t="str">
        <f>IF(AND('Mapa Instituc Corrupc 2023'!$Y$67="Media",'Mapa Instituc Corrupc 2023'!$AA$67="Moderado"),CONCATENATE("R10C",'Mapa Instituc Corrupc 2023'!$O$67),"")</f>
        <v/>
      </c>
      <c r="Z35" s="68" t="str">
        <f>IF(AND('Mapa Instituc Corrupc 2023'!$Y$68="Media",'Mapa Instituc Corrupc 2023'!$AA$68="Moderado"),CONCATENATE("R10C",'Mapa Instituc Corrupc 2023'!$O$68),"")</f>
        <v/>
      </c>
      <c r="AA35" s="69" t="str">
        <f>IF(AND('Mapa Instituc Corrupc 2023'!$Y$69="Media",'Mapa Instituc Corrupc 2023'!$AA$69="Moderado"),CONCATENATE("R10C",'Mapa Instituc Corrupc 2023'!$O$69),"")</f>
        <v/>
      </c>
      <c r="AB35" s="58" t="str">
        <f>IF(AND('Mapa Instituc Corrupc 2023'!$Y$64="Media",'Mapa Instituc Corrupc 2023'!$AA$64="Mayor"),CONCATENATE("R10C",'Mapa Instituc Corrupc 2023'!$O$64),"")</f>
        <v/>
      </c>
      <c r="AC35" s="59" t="str">
        <f>IF(AND('Mapa Instituc Corrupc 2023'!$Y$65="Media",'Mapa Instituc Corrupc 2023'!$AA$65="Mayor"),CONCATENATE("R10C",'Mapa Instituc Corrupc 2023'!$O$65),"")</f>
        <v/>
      </c>
      <c r="AD35" s="59" t="str">
        <f>IF(AND('Mapa Instituc Corrupc 2023'!$Y$66="Media",'Mapa Instituc Corrupc 2023'!$AA$66="Mayor"),CONCATENATE("R10C",'Mapa Instituc Corrupc 2023'!$O$66),"")</f>
        <v/>
      </c>
      <c r="AE35" s="59" t="str">
        <f>IF(AND('Mapa Instituc Corrupc 2023'!$Y$67="Media",'Mapa Instituc Corrupc 2023'!$AA$67="Mayor"),CONCATENATE("R10C",'Mapa Instituc Corrupc 2023'!$O$67),"")</f>
        <v/>
      </c>
      <c r="AF35" s="59" t="str">
        <f>IF(AND('Mapa Instituc Corrupc 2023'!$Y$68="Media",'Mapa Instituc Corrupc 2023'!$AA$68="Mayor"),CONCATENATE("R10C",'Mapa Instituc Corrupc 2023'!$O$68),"")</f>
        <v/>
      </c>
      <c r="AG35" s="60" t="str">
        <f>IF(AND('Mapa Instituc Corrupc 2023'!$Y$69="Media",'Mapa Instituc Corrupc 2023'!$AA$69="Mayor"),CONCATENATE("R10C",'Mapa Instituc Corrupc 2023'!$O$69),"")</f>
        <v/>
      </c>
      <c r="AH35" s="61" t="str">
        <f>IF(AND('Mapa Instituc Corrupc 2023'!$Y$64="Media",'Mapa Instituc Corrupc 2023'!$AA$64="Catastrófico"),CONCATENATE("R10C",'Mapa Instituc Corrupc 2023'!$O$64),"")</f>
        <v/>
      </c>
      <c r="AI35" s="62" t="str">
        <f>IF(AND('Mapa Instituc Corrupc 2023'!$Y$65="Media",'Mapa Instituc Corrupc 2023'!$AA$65="Catastrófico"),CONCATENATE("R10C",'Mapa Instituc Corrupc 2023'!$O$65),"")</f>
        <v/>
      </c>
      <c r="AJ35" s="62" t="str">
        <f>IF(AND('Mapa Instituc Corrupc 2023'!$Y$66="Media",'Mapa Instituc Corrupc 2023'!$AA$66="Catastrófico"),CONCATENATE("R10C",'Mapa Instituc Corrupc 2023'!$O$66),"")</f>
        <v/>
      </c>
      <c r="AK35" s="62" t="str">
        <f>IF(AND('Mapa Instituc Corrupc 2023'!$Y$67="Media",'Mapa Instituc Corrupc 2023'!$AA$67="Catastrófico"),CONCATENATE("R10C",'Mapa Instituc Corrupc 2023'!$O$67),"")</f>
        <v/>
      </c>
      <c r="AL35" s="62" t="str">
        <f>IF(AND('Mapa Instituc Corrupc 2023'!$Y$68="Media",'Mapa Instituc Corrupc 2023'!$AA$68="Catastrófico"),CONCATENATE("R10C",'Mapa Instituc Corrupc 2023'!$O$68),"")</f>
        <v/>
      </c>
      <c r="AM35" s="63" t="str">
        <f>IF(AND('Mapa Instituc Corrupc 2023'!$Y$69="Media",'Mapa Instituc Corrupc 2023'!$AA$69="Catastrófico"),CONCATENATE("R10C",'Mapa Instituc Corrupc 2023'!$O$69),"")</f>
        <v/>
      </c>
      <c r="AN35" s="83"/>
      <c r="AO35" s="514"/>
      <c r="AP35" s="515"/>
      <c r="AQ35" s="515"/>
      <c r="AR35" s="515"/>
      <c r="AS35" s="515"/>
      <c r="AT35" s="51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380"/>
      <c r="C36" s="380"/>
      <c r="D36" s="381"/>
      <c r="E36" s="477" t="s">
        <v>114</v>
      </c>
      <c r="F36" s="478"/>
      <c r="G36" s="478"/>
      <c r="H36" s="478"/>
      <c r="I36" s="478"/>
      <c r="J36" s="73" t="str">
        <f ca="1">IF(AND('Mapa Instituc Corrupc 2023'!$Y$10="Baja",'Mapa Instituc Corrupc 2023'!$AA$10="Leve"),CONCATENATE("R1C",'Mapa Instituc Corrupc 2023'!$O$10),"")</f>
        <v/>
      </c>
      <c r="K36" s="74" t="str">
        <f>IF(AND('Mapa Instituc Corrupc 2023'!$Y$11="Baja",'Mapa Instituc Corrupc 2023'!$AA$11="Leve"),CONCATENATE("R1C",'Mapa Instituc Corrupc 2023'!$O$11),"")</f>
        <v/>
      </c>
      <c r="L36" s="74" t="str">
        <f>IF(AND('Mapa Instituc Corrupc 2023'!$Y$12="Baja",'Mapa Instituc Corrupc 2023'!$AA$12="Leve"),CONCATENATE("R1C",'Mapa Instituc Corrupc 2023'!$O$12),"")</f>
        <v/>
      </c>
      <c r="M36" s="74" t="str">
        <f>IF(AND('Mapa Instituc Corrupc 2023'!$Y$13="Baja",'Mapa Instituc Corrupc 2023'!$AA$13="Leve"),CONCATENATE("R1C",'Mapa Instituc Corrupc 2023'!$O$13),"")</f>
        <v/>
      </c>
      <c r="N36" s="74" t="str">
        <f>IF(AND('Mapa Instituc Corrupc 2023'!$Y$14="Baja",'Mapa Instituc Corrupc 2023'!$AA$14="Leve"),CONCATENATE("R1C",'Mapa Instituc Corrupc 2023'!$O$14),"")</f>
        <v/>
      </c>
      <c r="O36" s="75" t="str">
        <f>IF(AND('Mapa Instituc Corrupc 2023'!$Y$15="Baja",'Mapa Instituc Corrupc 2023'!$AA$15="Leve"),CONCATENATE("R1C",'Mapa Instituc Corrupc 2023'!$O$15),"")</f>
        <v/>
      </c>
      <c r="P36" s="64" t="str">
        <f ca="1">IF(AND('Mapa Instituc Corrupc 2023'!$Y$10="Baja",'Mapa Instituc Corrupc 2023'!$AA$10="Menor"),CONCATENATE("R1C",'Mapa Instituc Corrupc 2023'!$O$10),"")</f>
        <v>R1C1</v>
      </c>
      <c r="Q36" s="65" t="str">
        <f>IF(AND('Mapa Instituc Corrupc 2023'!$Y$11="Baja",'Mapa Instituc Corrupc 2023'!$AA$11="Menor"),CONCATENATE("R1C",'Mapa Instituc Corrupc 2023'!$O$11),"")</f>
        <v/>
      </c>
      <c r="R36" s="65" t="str">
        <f>IF(AND('Mapa Instituc Corrupc 2023'!$Y$12="Baja",'Mapa Instituc Corrupc 2023'!$AA$12="Menor"),CONCATENATE("R1C",'Mapa Instituc Corrupc 2023'!$O$12),"")</f>
        <v/>
      </c>
      <c r="S36" s="65" t="str">
        <f>IF(AND('Mapa Instituc Corrupc 2023'!$Y$13="Baja",'Mapa Instituc Corrupc 2023'!$AA$13="Menor"),CONCATENATE("R1C",'Mapa Instituc Corrupc 2023'!$O$13),"")</f>
        <v/>
      </c>
      <c r="T36" s="65" t="str">
        <f>IF(AND('Mapa Instituc Corrupc 2023'!$Y$14="Baja",'Mapa Instituc Corrupc 2023'!$AA$14="Menor"),CONCATENATE("R1C",'Mapa Instituc Corrupc 2023'!$O$14),"")</f>
        <v/>
      </c>
      <c r="U36" s="66" t="str">
        <f>IF(AND('Mapa Instituc Corrupc 2023'!$Y$15="Baja",'Mapa Instituc Corrupc 2023'!$AA$15="Menor"),CONCATENATE("R1C",'Mapa Instituc Corrupc 2023'!$O$15),"")</f>
        <v/>
      </c>
      <c r="V36" s="64" t="str">
        <f ca="1">IF(AND('Mapa Instituc Corrupc 2023'!$Y$10="Baja",'Mapa Instituc Corrupc 2023'!$AA$10="Moderado"),CONCATENATE("R1C",'Mapa Instituc Corrupc 2023'!$O$10),"")</f>
        <v/>
      </c>
      <c r="W36" s="65" t="str">
        <f>IF(AND('Mapa Instituc Corrupc 2023'!$Y$11="Baja",'Mapa Instituc Corrupc 2023'!$AA$11="Moderado"),CONCATENATE("R1C",'Mapa Instituc Corrupc 2023'!$O$11),"")</f>
        <v/>
      </c>
      <c r="X36" s="65" t="str">
        <f>IF(AND('Mapa Instituc Corrupc 2023'!$Y$12="Baja",'Mapa Instituc Corrupc 2023'!$AA$12="Moderado"),CONCATENATE("R1C",'Mapa Instituc Corrupc 2023'!$O$12),"")</f>
        <v/>
      </c>
      <c r="Y36" s="65" t="str">
        <f>IF(AND('Mapa Instituc Corrupc 2023'!$Y$13="Baja",'Mapa Instituc Corrupc 2023'!$AA$13="Moderado"),CONCATENATE("R1C",'Mapa Instituc Corrupc 2023'!$O$13),"")</f>
        <v/>
      </c>
      <c r="Z36" s="65" t="str">
        <f>IF(AND('Mapa Instituc Corrupc 2023'!$Y$14="Baja",'Mapa Instituc Corrupc 2023'!$AA$14="Moderado"),CONCATENATE("R1C",'Mapa Instituc Corrupc 2023'!$O$14),"")</f>
        <v/>
      </c>
      <c r="AA36" s="66" t="str">
        <f>IF(AND('Mapa Instituc Corrupc 2023'!$Y$15="Baja",'Mapa Instituc Corrupc 2023'!$AA$15="Moderado"),CONCATENATE("R1C",'Mapa Instituc Corrupc 2023'!$O$15),"")</f>
        <v/>
      </c>
      <c r="AB36" s="45" t="str">
        <f ca="1">IF(AND('Mapa Instituc Corrupc 2023'!$Y$10="Baja",'Mapa Instituc Corrupc 2023'!$AA$10="Mayor"),CONCATENATE("R1C",'Mapa Instituc Corrupc 2023'!$O$10),"")</f>
        <v/>
      </c>
      <c r="AC36" s="46" t="str">
        <f>IF(AND('Mapa Instituc Corrupc 2023'!$Y$11="Baja",'Mapa Instituc Corrupc 2023'!$AA$11="Mayor"),CONCATENATE("R1C",'Mapa Instituc Corrupc 2023'!$O$11),"")</f>
        <v/>
      </c>
      <c r="AD36" s="46" t="str">
        <f>IF(AND('Mapa Instituc Corrupc 2023'!$Y$12="Baja",'Mapa Instituc Corrupc 2023'!$AA$12="Mayor"),CONCATENATE("R1C",'Mapa Instituc Corrupc 2023'!$O$12),"")</f>
        <v/>
      </c>
      <c r="AE36" s="46" t="str">
        <f>IF(AND('Mapa Instituc Corrupc 2023'!$Y$13="Baja",'Mapa Instituc Corrupc 2023'!$AA$13="Mayor"),CONCATENATE("R1C",'Mapa Instituc Corrupc 2023'!$O$13),"")</f>
        <v/>
      </c>
      <c r="AF36" s="46" t="str">
        <f>IF(AND('Mapa Instituc Corrupc 2023'!$Y$14="Baja",'Mapa Instituc Corrupc 2023'!$AA$14="Mayor"),CONCATENATE("R1C",'Mapa Instituc Corrupc 2023'!$O$14),"")</f>
        <v/>
      </c>
      <c r="AG36" s="47" t="str">
        <f>IF(AND('Mapa Instituc Corrupc 2023'!$Y$15="Baja",'Mapa Instituc Corrupc 2023'!$AA$15="Mayor"),CONCATENATE("R1C",'Mapa Instituc Corrupc 2023'!$O$15),"")</f>
        <v/>
      </c>
      <c r="AH36" s="48" t="str">
        <f ca="1">IF(AND('Mapa Instituc Corrupc 2023'!$Y$10="Baja",'Mapa Instituc Corrupc 2023'!$AA$10="Catastrófico"),CONCATENATE("R1C",'Mapa Instituc Corrupc 2023'!$O$10),"")</f>
        <v/>
      </c>
      <c r="AI36" s="49" t="str">
        <f>IF(AND('Mapa Instituc Corrupc 2023'!$Y$11="Baja",'Mapa Instituc Corrupc 2023'!$AA$11="Catastrófico"),CONCATENATE("R1C",'Mapa Instituc Corrupc 2023'!$O$11),"")</f>
        <v/>
      </c>
      <c r="AJ36" s="49" t="str">
        <f>IF(AND('Mapa Instituc Corrupc 2023'!$Y$12="Baja",'Mapa Instituc Corrupc 2023'!$AA$12="Catastrófico"),CONCATENATE("R1C",'Mapa Instituc Corrupc 2023'!$O$12),"")</f>
        <v/>
      </c>
      <c r="AK36" s="49" t="str">
        <f>IF(AND('Mapa Instituc Corrupc 2023'!$Y$13="Baja",'Mapa Instituc Corrupc 2023'!$AA$13="Catastrófico"),CONCATENATE("R1C",'Mapa Instituc Corrupc 2023'!$O$13),"")</f>
        <v/>
      </c>
      <c r="AL36" s="49" t="str">
        <f>IF(AND('Mapa Instituc Corrupc 2023'!$Y$14="Baja",'Mapa Instituc Corrupc 2023'!$AA$14="Catastrófico"),CONCATENATE("R1C",'Mapa Instituc Corrupc 2023'!$O$14),"")</f>
        <v/>
      </c>
      <c r="AM36" s="50" t="str">
        <f>IF(AND('Mapa Instituc Corrupc 2023'!$Y$15="Baja",'Mapa Instituc Corrupc 2023'!$AA$15="Catastrófico"),CONCATENATE("R1C",'Mapa Instituc Corrupc 2023'!$O$15),"")</f>
        <v/>
      </c>
      <c r="AN36" s="83"/>
      <c r="AO36" s="499" t="s">
        <v>82</v>
      </c>
      <c r="AP36" s="500"/>
      <c r="AQ36" s="500"/>
      <c r="AR36" s="500"/>
      <c r="AS36" s="500"/>
      <c r="AT36" s="50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380"/>
      <c r="C37" s="380"/>
      <c r="D37" s="381"/>
      <c r="E37" s="479"/>
      <c r="F37" s="480"/>
      <c r="G37" s="480"/>
      <c r="H37" s="480"/>
      <c r="I37" s="480"/>
      <c r="J37" s="76" t="str">
        <f ca="1">IF(AND('Mapa Instituc Corrupc 2023'!$Y$16="Baja",'Mapa Instituc Corrupc 2023'!$AA$16="Leve"),CONCATENATE("R2C",'Mapa Instituc Corrupc 2023'!$O$16),"")</f>
        <v/>
      </c>
      <c r="K37" s="77" t="str">
        <f>IF(AND('Mapa Instituc Corrupc 2023'!$Y$17="Baja",'Mapa Instituc Corrupc 2023'!$AA$17="Leve"),CONCATENATE("R2C",'Mapa Instituc Corrupc 2023'!$O$17),"")</f>
        <v/>
      </c>
      <c r="L37" s="77" t="str">
        <f>IF(AND('Mapa Instituc Corrupc 2023'!$Y$18="Baja",'Mapa Instituc Corrupc 2023'!$AA$18="Leve"),CONCATENATE("R2C",'Mapa Instituc Corrupc 2023'!$O$18),"")</f>
        <v/>
      </c>
      <c r="M37" s="77" t="str">
        <f>IF(AND('Mapa Instituc Corrupc 2023'!$Y$19="Baja",'Mapa Instituc Corrupc 2023'!$AA$19="Leve"),CONCATENATE("R2C",'Mapa Instituc Corrupc 2023'!$O$19),"")</f>
        <v/>
      </c>
      <c r="N37" s="77" t="str">
        <f>IF(AND('Mapa Instituc Corrupc 2023'!$Y$20="Baja",'Mapa Instituc Corrupc 2023'!$AA$20="Leve"),CONCATENATE("R2C",'Mapa Instituc Corrupc 2023'!$O$20),"")</f>
        <v/>
      </c>
      <c r="O37" s="78" t="str">
        <f>IF(AND('Mapa Instituc Corrupc 2023'!$Y$21="Baja",'Mapa Instituc Corrupc 2023'!$AA$21="Leve"),CONCATENATE("R2C",'Mapa Instituc Corrupc 2023'!$O$21),"")</f>
        <v/>
      </c>
      <c r="P37" s="67" t="str">
        <f ca="1">IF(AND('Mapa Instituc Corrupc 2023'!$Y$16="Baja",'Mapa Instituc Corrupc 2023'!$AA$16="Menor"),CONCATENATE("R2C",'Mapa Instituc Corrupc 2023'!$O$16),"")</f>
        <v/>
      </c>
      <c r="Q37" s="68" t="str">
        <f>IF(AND('Mapa Instituc Corrupc 2023'!$Y$17="Baja",'Mapa Instituc Corrupc 2023'!$AA$17="Menor"),CONCATENATE("R2C",'Mapa Instituc Corrupc 2023'!$O$17),"")</f>
        <v/>
      </c>
      <c r="R37" s="68" t="str">
        <f>IF(AND('Mapa Instituc Corrupc 2023'!$Y$18="Baja",'Mapa Instituc Corrupc 2023'!$AA$18="Menor"),CONCATENATE("R2C",'Mapa Instituc Corrupc 2023'!$O$18),"")</f>
        <v/>
      </c>
      <c r="S37" s="68" t="str">
        <f>IF(AND('Mapa Instituc Corrupc 2023'!$Y$19="Baja",'Mapa Instituc Corrupc 2023'!$AA$19="Menor"),CONCATENATE("R2C",'Mapa Instituc Corrupc 2023'!$O$19),"")</f>
        <v/>
      </c>
      <c r="T37" s="68" t="str">
        <f>IF(AND('Mapa Instituc Corrupc 2023'!$Y$20="Baja",'Mapa Instituc Corrupc 2023'!$AA$20="Menor"),CONCATENATE("R2C",'Mapa Instituc Corrupc 2023'!$O$20),"")</f>
        <v/>
      </c>
      <c r="U37" s="69" t="str">
        <f>IF(AND('Mapa Instituc Corrupc 2023'!$Y$21="Baja",'Mapa Instituc Corrupc 2023'!$AA$21="Menor"),CONCATENATE("R2C",'Mapa Instituc Corrupc 2023'!$O$21),"")</f>
        <v/>
      </c>
      <c r="V37" s="67" t="str">
        <f ca="1">IF(AND('Mapa Instituc Corrupc 2023'!$Y$16="Baja",'Mapa Instituc Corrupc 2023'!$AA$16="Moderado"),CONCATENATE("R2C",'Mapa Instituc Corrupc 2023'!$O$16),"")</f>
        <v/>
      </c>
      <c r="W37" s="68" t="str">
        <f>IF(AND('Mapa Instituc Corrupc 2023'!$Y$17="Baja",'Mapa Instituc Corrupc 2023'!$AA$17="Moderado"),CONCATENATE("R2C",'Mapa Instituc Corrupc 2023'!$O$17),"")</f>
        <v/>
      </c>
      <c r="X37" s="68" t="str">
        <f>IF(AND('Mapa Instituc Corrupc 2023'!$Y$18="Baja",'Mapa Instituc Corrupc 2023'!$AA$18="Moderado"),CONCATENATE("R2C",'Mapa Instituc Corrupc 2023'!$O$18),"")</f>
        <v/>
      </c>
      <c r="Y37" s="68" t="str">
        <f>IF(AND('Mapa Instituc Corrupc 2023'!$Y$19="Baja",'Mapa Instituc Corrupc 2023'!$AA$19="Moderado"),CONCATENATE("R2C",'Mapa Instituc Corrupc 2023'!$O$19),"")</f>
        <v/>
      </c>
      <c r="Z37" s="68" t="str">
        <f>IF(AND('Mapa Instituc Corrupc 2023'!$Y$20="Baja",'Mapa Instituc Corrupc 2023'!$AA$20="Moderado"),CONCATENATE("R2C",'Mapa Instituc Corrupc 2023'!$O$20),"")</f>
        <v/>
      </c>
      <c r="AA37" s="69" t="str">
        <f>IF(AND('Mapa Instituc Corrupc 2023'!$Y$21="Baja",'Mapa Instituc Corrupc 2023'!$AA$21="Moderado"),CONCATENATE("R2C",'Mapa Instituc Corrupc 2023'!$O$21),"")</f>
        <v/>
      </c>
      <c r="AB37" s="51" t="str">
        <f ca="1">IF(AND('Mapa Instituc Corrupc 2023'!$Y$16="Baja",'Mapa Instituc Corrupc 2023'!$AA$16="Mayor"),CONCATENATE("R2C",'Mapa Instituc Corrupc 2023'!$O$16),"")</f>
        <v/>
      </c>
      <c r="AC37" s="52" t="str">
        <f>IF(AND('Mapa Instituc Corrupc 2023'!$Y$17="Baja",'Mapa Instituc Corrupc 2023'!$AA$17="Mayor"),CONCATENATE("R2C",'Mapa Instituc Corrupc 2023'!$O$17),"")</f>
        <v/>
      </c>
      <c r="AD37" s="52" t="str">
        <f>IF(AND('Mapa Instituc Corrupc 2023'!$Y$18="Baja",'Mapa Instituc Corrupc 2023'!$AA$18="Mayor"),CONCATENATE("R2C",'Mapa Instituc Corrupc 2023'!$O$18),"")</f>
        <v/>
      </c>
      <c r="AE37" s="52" t="str">
        <f>IF(AND('Mapa Instituc Corrupc 2023'!$Y$19="Baja",'Mapa Instituc Corrupc 2023'!$AA$19="Mayor"),CONCATENATE("R2C",'Mapa Instituc Corrupc 2023'!$O$19),"")</f>
        <v/>
      </c>
      <c r="AF37" s="52" t="str">
        <f>IF(AND('Mapa Instituc Corrupc 2023'!$Y$20="Baja",'Mapa Instituc Corrupc 2023'!$AA$20="Mayor"),CONCATENATE("R2C",'Mapa Instituc Corrupc 2023'!$O$20),"")</f>
        <v/>
      </c>
      <c r="AG37" s="53" t="str">
        <f>IF(AND('Mapa Instituc Corrupc 2023'!$Y$21="Baja",'Mapa Instituc Corrupc 2023'!$AA$21="Mayor"),CONCATENATE("R2C",'Mapa Instituc Corrupc 2023'!$O$21),"")</f>
        <v/>
      </c>
      <c r="AH37" s="54" t="str">
        <f ca="1">IF(AND('Mapa Instituc Corrupc 2023'!$Y$16="Baja",'Mapa Instituc Corrupc 2023'!$AA$16="Catastrófico"),CONCATENATE("R2C",'Mapa Instituc Corrupc 2023'!$O$16),"")</f>
        <v/>
      </c>
      <c r="AI37" s="55" t="str">
        <f>IF(AND('Mapa Instituc Corrupc 2023'!$Y$17="Baja",'Mapa Instituc Corrupc 2023'!$AA$17="Catastrófico"),CONCATENATE("R2C",'Mapa Instituc Corrupc 2023'!$O$17),"")</f>
        <v/>
      </c>
      <c r="AJ37" s="55" t="str">
        <f>IF(AND('Mapa Instituc Corrupc 2023'!$Y$18="Baja",'Mapa Instituc Corrupc 2023'!$AA$18="Catastrófico"),CONCATENATE("R2C",'Mapa Instituc Corrupc 2023'!$O$18),"")</f>
        <v/>
      </c>
      <c r="AK37" s="55" t="str">
        <f>IF(AND('Mapa Instituc Corrupc 2023'!$Y$19="Baja",'Mapa Instituc Corrupc 2023'!$AA$19="Catastrófico"),CONCATENATE("R2C",'Mapa Instituc Corrupc 2023'!$O$19),"")</f>
        <v/>
      </c>
      <c r="AL37" s="55" t="str">
        <f>IF(AND('Mapa Instituc Corrupc 2023'!$Y$20="Baja",'Mapa Instituc Corrupc 2023'!$AA$20="Catastrófico"),CONCATENATE("R2C",'Mapa Instituc Corrupc 2023'!$O$20),"")</f>
        <v/>
      </c>
      <c r="AM37" s="56" t="str">
        <f>IF(AND('Mapa Instituc Corrupc 2023'!$Y$21="Baja",'Mapa Instituc Corrupc 2023'!$AA$21="Catastrófico"),CONCATENATE("R2C",'Mapa Instituc Corrupc 2023'!$O$21),"")</f>
        <v/>
      </c>
      <c r="AN37" s="83"/>
      <c r="AO37" s="502"/>
      <c r="AP37" s="503"/>
      <c r="AQ37" s="503"/>
      <c r="AR37" s="503"/>
      <c r="AS37" s="503"/>
      <c r="AT37" s="50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380"/>
      <c r="C38" s="380"/>
      <c r="D38" s="381"/>
      <c r="E38" s="481"/>
      <c r="F38" s="482"/>
      <c r="G38" s="482"/>
      <c r="H38" s="482"/>
      <c r="I38" s="480"/>
      <c r="J38" s="76" t="str">
        <f>IF(AND('Mapa Instituc Corrupc 2023'!$Y$22="Baja",'Mapa Instituc Corrupc 2023'!$AA$22="Leve"),CONCATENATE("R3C",'Mapa Instituc Corrupc 2023'!$O$22),"")</f>
        <v/>
      </c>
      <c r="K38" s="77" t="str">
        <f>IF(AND('Mapa Instituc Corrupc 2023'!$Y$23="Baja",'Mapa Instituc Corrupc 2023'!$AA$23="Leve"),CONCATENATE("R3C",'Mapa Instituc Corrupc 2023'!$O$23),"")</f>
        <v/>
      </c>
      <c r="L38" s="77" t="str">
        <f>IF(AND('Mapa Instituc Corrupc 2023'!$Y$24="Baja",'Mapa Instituc Corrupc 2023'!$AA$24="Leve"),CONCATENATE("R3C",'Mapa Instituc Corrupc 2023'!$O$24),"")</f>
        <v/>
      </c>
      <c r="M38" s="77" t="str">
        <f>IF(AND('Mapa Instituc Corrupc 2023'!$Y$25="Baja",'Mapa Instituc Corrupc 2023'!$AA$25="Leve"),CONCATENATE("R3C",'Mapa Instituc Corrupc 2023'!$O$25),"")</f>
        <v/>
      </c>
      <c r="N38" s="77" t="str">
        <f>IF(AND('Mapa Instituc Corrupc 2023'!$Y$26="Baja",'Mapa Instituc Corrupc 2023'!$AA$26="Leve"),CONCATENATE("R3C",'Mapa Instituc Corrupc 2023'!$O$26),"")</f>
        <v/>
      </c>
      <c r="O38" s="78" t="str">
        <f>IF(AND('Mapa Instituc Corrupc 2023'!$Y$27="Baja",'Mapa Instituc Corrupc 2023'!$AA$27="Leve"),CONCATENATE("R3C",'Mapa Instituc Corrupc 2023'!$O$27),"")</f>
        <v/>
      </c>
      <c r="P38" s="67" t="str">
        <f>IF(AND('Mapa Instituc Corrupc 2023'!$Y$22="Baja",'Mapa Instituc Corrupc 2023'!$AA$22="Menor"),CONCATENATE("R3C",'Mapa Instituc Corrupc 2023'!$O$22),"")</f>
        <v/>
      </c>
      <c r="Q38" s="68" t="str">
        <f>IF(AND('Mapa Instituc Corrupc 2023'!$Y$23="Baja",'Mapa Instituc Corrupc 2023'!$AA$23="Menor"),CONCATENATE("R3C",'Mapa Instituc Corrupc 2023'!$O$23),"")</f>
        <v/>
      </c>
      <c r="R38" s="68" t="str">
        <f>IF(AND('Mapa Instituc Corrupc 2023'!$Y$24="Baja",'Mapa Instituc Corrupc 2023'!$AA$24="Menor"),CONCATENATE("R3C",'Mapa Instituc Corrupc 2023'!$O$24),"")</f>
        <v/>
      </c>
      <c r="S38" s="68" t="str">
        <f>IF(AND('Mapa Instituc Corrupc 2023'!$Y$25="Baja",'Mapa Instituc Corrupc 2023'!$AA$25="Menor"),CONCATENATE("R3C",'Mapa Instituc Corrupc 2023'!$O$25),"")</f>
        <v/>
      </c>
      <c r="T38" s="68" t="str">
        <f>IF(AND('Mapa Instituc Corrupc 2023'!$Y$26="Baja",'Mapa Instituc Corrupc 2023'!$AA$26="Menor"),CONCATENATE("R3C",'Mapa Instituc Corrupc 2023'!$O$26),"")</f>
        <v/>
      </c>
      <c r="U38" s="69" t="str">
        <f>IF(AND('Mapa Instituc Corrupc 2023'!$Y$27="Baja",'Mapa Instituc Corrupc 2023'!$AA$27="Menor"),CONCATENATE("R3C",'Mapa Instituc Corrupc 2023'!$O$27),"")</f>
        <v/>
      </c>
      <c r="V38" s="67" t="str">
        <f>IF(AND('Mapa Instituc Corrupc 2023'!$Y$22="Baja",'Mapa Instituc Corrupc 2023'!$AA$22="Moderado"),CONCATENATE("R3C",'Mapa Instituc Corrupc 2023'!$O$22),"")</f>
        <v/>
      </c>
      <c r="W38" s="68" t="str">
        <f>IF(AND('Mapa Instituc Corrupc 2023'!$Y$23="Baja",'Mapa Instituc Corrupc 2023'!$AA$23="Moderado"),CONCATENATE("R3C",'Mapa Instituc Corrupc 2023'!$O$23),"")</f>
        <v/>
      </c>
      <c r="X38" s="68" t="str">
        <f>IF(AND('Mapa Instituc Corrupc 2023'!$Y$24="Baja",'Mapa Instituc Corrupc 2023'!$AA$24="Moderado"),CONCATENATE("R3C",'Mapa Instituc Corrupc 2023'!$O$24),"")</f>
        <v/>
      </c>
      <c r="Y38" s="68" t="str">
        <f>IF(AND('Mapa Instituc Corrupc 2023'!$Y$25="Baja",'Mapa Instituc Corrupc 2023'!$AA$25="Moderado"),CONCATENATE("R3C",'Mapa Instituc Corrupc 2023'!$O$25),"")</f>
        <v/>
      </c>
      <c r="Z38" s="68" t="str">
        <f>IF(AND('Mapa Instituc Corrupc 2023'!$Y$26="Baja",'Mapa Instituc Corrupc 2023'!$AA$26="Moderado"),CONCATENATE("R3C",'Mapa Instituc Corrupc 2023'!$O$26),"")</f>
        <v/>
      </c>
      <c r="AA38" s="69" t="str">
        <f>IF(AND('Mapa Instituc Corrupc 2023'!$Y$27="Baja",'Mapa Instituc Corrupc 2023'!$AA$27="Moderado"),CONCATENATE("R3C",'Mapa Instituc Corrupc 2023'!$O$27),"")</f>
        <v/>
      </c>
      <c r="AB38" s="51" t="str">
        <f>IF(AND('Mapa Instituc Corrupc 2023'!$Y$22="Baja",'Mapa Instituc Corrupc 2023'!$AA$22="Mayor"),CONCATENATE("R3C",'Mapa Instituc Corrupc 2023'!$O$22),"")</f>
        <v/>
      </c>
      <c r="AC38" s="52" t="str">
        <f>IF(AND('Mapa Instituc Corrupc 2023'!$Y$23="Baja",'Mapa Instituc Corrupc 2023'!$AA$23="Mayor"),CONCATENATE("R3C",'Mapa Instituc Corrupc 2023'!$O$23),"")</f>
        <v/>
      </c>
      <c r="AD38" s="52" t="str">
        <f>IF(AND('Mapa Instituc Corrupc 2023'!$Y$24="Baja",'Mapa Instituc Corrupc 2023'!$AA$24="Mayor"),CONCATENATE("R3C",'Mapa Instituc Corrupc 2023'!$O$24),"")</f>
        <v/>
      </c>
      <c r="AE38" s="52" t="str">
        <f>IF(AND('Mapa Instituc Corrupc 2023'!$Y$25="Baja",'Mapa Instituc Corrupc 2023'!$AA$25="Mayor"),CONCATENATE("R3C",'Mapa Instituc Corrupc 2023'!$O$25),"")</f>
        <v/>
      </c>
      <c r="AF38" s="52" t="str">
        <f>IF(AND('Mapa Instituc Corrupc 2023'!$Y$26="Baja",'Mapa Instituc Corrupc 2023'!$AA$26="Mayor"),CONCATENATE("R3C",'Mapa Instituc Corrupc 2023'!$O$26),"")</f>
        <v/>
      </c>
      <c r="AG38" s="53" t="str">
        <f>IF(AND('Mapa Instituc Corrupc 2023'!$Y$27="Baja",'Mapa Instituc Corrupc 2023'!$AA$27="Mayor"),CONCATENATE("R3C",'Mapa Instituc Corrupc 2023'!$O$27),"")</f>
        <v/>
      </c>
      <c r="AH38" s="54" t="str">
        <f>IF(AND('Mapa Instituc Corrupc 2023'!$Y$22="Baja",'Mapa Instituc Corrupc 2023'!$AA$22="Catastrófico"),CONCATENATE("R3C",'Mapa Instituc Corrupc 2023'!$O$22),"")</f>
        <v/>
      </c>
      <c r="AI38" s="55" t="str">
        <f>IF(AND('Mapa Instituc Corrupc 2023'!$Y$23="Baja",'Mapa Instituc Corrupc 2023'!$AA$23="Catastrófico"),CONCATENATE("R3C",'Mapa Instituc Corrupc 2023'!$O$23),"")</f>
        <v/>
      </c>
      <c r="AJ38" s="55" t="str">
        <f>IF(AND('Mapa Instituc Corrupc 2023'!$Y$24="Baja",'Mapa Instituc Corrupc 2023'!$AA$24="Catastrófico"),CONCATENATE("R3C",'Mapa Instituc Corrupc 2023'!$O$24),"")</f>
        <v/>
      </c>
      <c r="AK38" s="55" t="str">
        <f>IF(AND('Mapa Instituc Corrupc 2023'!$Y$25="Baja",'Mapa Instituc Corrupc 2023'!$AA$25="Catastrófico"),CONCATENATE("R3C",'Mapa Instituc Corrupc 2023'!$O$25),"")</f>
        <v/>
      </c>
      <c r="AL38" s="55" t="str">
        <f>IF(AND('Mapa Instituc Corrupc 2023'!$Y$26="Baja",'Mapa Instituc Corrupc 2023'!$AA$26="Catastrófico"),CONCATENATE("R3C",'Mapa Instituc Corrupc 2023'!$O$26),"")</f>
        <v/>
      </c>
      <c r="AM38" s="56" t="str">
        <f>IF(AND('Mapa Instituc Corrupc 2023'!$Y$27="Baja",'Mapa Instituc Corrupc 2023'!$AA$27="Catastrófico"),CONCATENATE("R3C",'Mapa Instituc Corrupc 2023'!$O$27),"")</f>
        <v/>
      </c>
      <c r="AN38" s="83"/>
      <c r="AO38" s="502"/>
      <c r="AP38" s="503"/>
      <c r="AQ38" s="503"/>
      <c r="AR38" s="503"/>
      <c r="AS38" s="503"/>
      <c r="AT38" s="504"/>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380"/>
      <c r="C39" s="380"/>
      <c r="D39" s="381"/>
      <c r="E39" s="481"/>
      <c r="F39" s="482"/>
      <c r="G39" s="482"/>
      <c r="H39" s="482"/>
      <c r="I39" s="480"/>
      <c r="J39" s="76" t="str">
        <f>IF(AND('Mapa Instituc Corrupc 2023'!$Y$28="Baja",'Mapa Instituc Corrupc 2023'!$AA$28="Leve"),CONCATENATE("R4C",'Mapa Instituc Corrupc 2023'!$O$28),"")</f>
        <v/>
      </c>
      <c r="K39" s="77" t="str">
        <f>IF(AND('Mapa Instituc Corrupc 2023'!$Y$29="Baja",'Mapa Instituc Corrupc 2023'!$AA$29="Leve"),CONCATENATE("R4C",'Mapa Instituc Corrupc 2023'!$O$29),"")</f>
        <v/>
      </c>
      <c r="L39" s="77" t="str">
        <f>IF(AND('Mapa Instituc Corrupc 2023'!$Y$30="Baja",'Mapa Instituc Corrupc 2023'!$AA$30="Leve"),CONCATENATE("R4C",'Mapa Instituc Corrupc 2023'!$O$30),"")</f>
        <v/>
      </c>
      <c r="M39" s="77" t="str">
        <f>IF(AND('Mapa Instituc Corrupc 2023'!$Y$31="Baja",'Mapa Instituc Corrupc 2023'!$AA$31="Leve"),CONCATENATE("R4C",'Mapa Instituc Corrupc 2023'!$O$31),"")</f>
        <v/>
      </c>
      <c r="N39" s="77" t="str">
        <f>IF(AND('Mapa Instituc Corrupc 2023'!$Y$32="Baja",'Mapa Instituc Corrupc 2023'!$AA$32="Leve"),CONCATENATE("R4C",'Mapa Instituc Corrupc 2023'!$O$32),"")</f>
        <v/>
      </c>
      <c r="O39" s="78" t="str">
        <f>IF(AND('Mapa Instituc Corrupc 2023'!$Y$33="Baja",'Mapa Instituc Corrupc 2023'!$AA$33="Leve"),CONCATENATE("R4C",'Mapa Instituc Corrupc 2023'!$O$33),"")</f>
        <v/>
      </c>
      <c r="P39" s="67" t="str">
        <f>IF(AND('Mapa Instituc Corrupc 2023'!$Y$28="Baja",'Mapa Instituc Corrupc 2023'!$AA$28="Menor"),CONCATENATE("R4C",'Mapa Instituc Corrupc 2023'!$O$28),"")</f>
        <v/>
      </c>
      <c r="Q39" s="68" t="str">
        <f>IF(AND('Mapa Instituc Corrupc 2023'!$Y$29="Baja",'Mapa Instituc Corrupc 2023'!$AA$29="Menor"),CONCATENATE("R4C",'Mapa Instituc Corrupc 2023'!$O$29),"")</f>
        <v/>
      </c>
      <c r="R39" s="68" t="str">
        <f>IF(AND('Mapa Instituc Corrupc 2023'!$Y$30="Baja",'Mapa Instituc Corrupc 2023'!$AA$30="Menor"),CONCATENATE("R4C",'Mapa Instituc Corrupc 2023'!$O$30),"")</f>
        <v/>
      </c>
      <c r="S39" s="68" t="str">
        <f>IF(AND('Mapa Instituc Corrupc 2023'!$Y$31="Baja",'Mapa Instituc Corrupc 2023'!$AA$31="Menor"),CONCATENATE("R4C",'Mapa Instituc Corrupc 2023'!$O$31),"")</f>
        <v/>
      </c>
      <c r="T39" s="68" t="str">
        <f>IF(AND('Mapa Instituc Corrupc 2023'!$Y$32="Baja",'Mapa Instituc Corrupc 2023'!$AA$32="Menor"),CONCATENATE("R4C",'Mapa Instituc Corrupc 2023'!$O$32),"")</f>
        <v/>
      </c>
      <c r="U39" s="69" t="str">
        <f>IF(AND('Mapa Instituc Corrupc 2023'!$Y$33="Baja",'Mapa Instituc Corrupc 2023'!$AA$33="Menor"),CONCATENATE("R4C",'Mapa Instituc Corrupc 2023'!$O$33),"")</f>
        <v/>
      </c>
      <c r="V39" s="67" t="str">
        <f>IF(AND('Mapa Instituc Corrupc 2023'!$Y$28="Baja",'Mapa Instituc Corrupc 2023'!$AA$28="Moderado"),CONCATENATE("R4C",'Mapa Instituc Corrupc 2023'!$O$28),"")</f>
        <v/>
      </c>
      <c r="W39" s="68" t="str">
        <f>IF(AND('Mapa Instituc Corrupc 2023'!$Y$29="Baja",'Mapa Instituc Corrupc 2023'!$AA$29="Moderado"),CONCATENATE("R4C",'Mapa Instituc Corrupc 2023'!$O$29),"")</f>
        <v/>
      </c>
      <c r="X39" s="68" t="str">
        <f>IF(AND('Mapa Instituc Corrupc 2023'!$Y$30="Baja",'Mapa Instituc Corrupc 2023'!$AA$30="Moderado"),CONCATENATE("R4C",'Mapa Instituc Corrupc 2023'!$O$30),"")</f>
        <v/>
      </c>
      <c r="Y39" s="68" t="str">
        <f>IF(AND('Mapa Instituc Corrupc 2023'!$Y$31="Baja",'Mapa Instituc Corrupc 2023'!$AA$31="Moderado"),CONCATENATE("R4C",'Mapa Instituc Corrupc 2023'!$O$31),"")</f>
        <v/>
      </c>
      <c r="Z39" s="68" t="str">
        <f>IF(AND('Mapa Instituc Corrupc 2023'!$Y$32="Baja",'Mapa Instituc Corrupc 2023'!$AA$32="Moderado"),CONCATENATE("R4C",'Mapa Instituc Corrupc 2023'!$O$32),"")</f>
        <v/>
      </c>
      <c r="AA39" s="69" t="str">
        <f>IF(AND('Mapa Instituc Corrupc 2023'!$Y$33="Baja",'Mapa Instituc Corrupc 2023'!$AA$33="Moderado"),CONCATENATE("R4C",'Mapa Instituc Corrupc 2023'!$O$33),"")</f>
        <v/>
      </c>
      <c r="AB39" s="51" t="str">
        <f>IF(AND('Mapa Instituc Corrupc 2023'!$Y$28="Baja",'Mapa Instituc Corrupc 2023'!$AA$28="Mayor"),CONCATENATE("R4C",'Mapa Instituc Corrupc 2023'!$O$28),"")</f>
        <v/>
      </c>
      <c r="AC39" s="52" t="str">
        <f>IF(AND('Mapa Instituc Corrupc 2023'!$Y$29="Baja",'Mapa Instituc Corrupc 2023'!$AA$29="Mayor"),CONCATENATE("R4C",'Mapa Instituc Corrupc 2023'!$O$29),"")</f>
        <v/>
      </c>
      <c r="AD39" s="52" t="str">
        <f>IF(AND('Mapa Instituc Corrupc 2023'!$Y$30="Baja",'Mapa Instituc Corrupc 2023'!$AA$30="Mayor"),CONCATENATE("R4C",'Mapa Instituc Corrupc 2023'!$O$30),"")</f>
        <v/>
      </c>
      <c r="AE39" s="52" t="str">
        <f>IF(AND('Mapa Instituc Corrupc 2023'!$Y$31="Baja",'Mapa Instituc Corrupc 2023'!$AA$31="Mayor"),CONCATENATE("R4C",'Mapa Instituc Corrupc 2023'!$O$31),"")</f>
        <v/>
      </c>
      <c r="AF39" s="52" t="str">
        <f>IF(AND('Mapa Instituc Corrupc 2023'!$Y$32="Baja",'Mapa Instituc Corrupc 2023'!$AA$32="Mayor"),CONCATENATE("R4C",'Mapa Instituc Corrupc 2023'!$O$32),"")</f>
        <v/>
      </c>
      <c r="AG39" s="53" t="str">
        <f>IF(AND('Mapa Instituc Corrupc 2023'!$Y$33="Baja",'Mapa Instituc Corrupc 2023'!$AA$33="Mayor"),CONCATENATE("R4C",'Mapa Instituc Corrupc 2023'!$O$33),"")</f>
        <v/>
      </c>
      <c r="AH39" s="54" t="str">
        <f>IF(AND('Mapa Instituc Corrupc 2023'!$Y$28="Baja",'Mapa Instituc Corrupc 2023'!$AA$28="Catastrófico"),CONCATENATE("R4C",'Mapa Instituc Corrupc 2023'!$O$28),"")</f>
        <v/>
      </c>
      <c r="AI39" s="55" t="str">
        <f>IF(AND('Mapa Instituc Corrupc 2023'!$Y$29="Baja",'Mapa Instituc Corrupc 2023'!$AA$29="Catastrófico"),CONCATENATE("R4C",'Mapa Instituc Corrupc 2023'!$O$29),"")</f>
        <v/>
      </c>
      <c r="AJ39" s="55" t="str">
        <f>IF(AND('Mapa Instituc Corrupc 2023'!$Y$30="Baja",'Mapa Instituc Corrupc 2023'!$AA$30="Catastrófico"),CONCATENATE("R4C",'Mapa Instituc Corrupc 2023'!$O$30),"")</f>
        <v/>
      </c>
      <c r="AK39" s="55" t="str">
        <f>IF(AND('Mapa Instituc Corrupc 2023'!$Y$31="Baja",'Mapa Instituc Corrupc 2023'!$AA$31="Catastrófico"),CONCATENATE("R4C",'Mapa Instituc Corrupc 2023'!$O$31),"")</f>
        <v/>
      </c>
      <c r="AL39" s="55" t="str">
        <f>IF(AND('Mapa Instituc Corrupc 2023'!$Y$32="Baja",'Mapa Instituc Corrupc 2023'!$AA$32="Catastrófico"),CONCATENATE("R4C",'Mapa Instituc Corrupc 2023'!$O$32),"")</f>
        <v/>
      </c>
      <c r="AM39" s="56" t="str">
        <f>IF(AND('Mapa Instituc Corrupc 2023'!$Y$33="Baja",'Mapa Instituc Corrupc 2023'!$AA$33="Catastrófico"),CONCATENATE("R4C",'Mapa Instituc Corrupc 2023'!$O$33),"")</f>
        <v/>
      </c>
      <c r="AN39" s="83"/>
      <c r="AO39" s="502"/>
      <c r="AP39" s="503"/>
      <c r="AQ39" s="503"/>
      <c r="AR39" s="503"/>
      <c r="AS39" s="503"/>
      <c r="AT39" s="504"/>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380"/>
      <c r="C40" s="380"/>
      <c r="D40" s="381"/>
      <c r="E40" s="481"/>
      <c r="F40" s="482"/>
      <c r="G40" s="482"/>
      <c r="H40" s="482"/>
      <c r="I40" s="480"/>
      <c r="J40" s="76" t="str">
        <f>IF(AND('Mapa Instituc Corrupc 2023'!$Y$34="Baja",'Mapa Instituc Corrupc 2023'!$AA$34="Leve"),CONCATENATE("R5C",'Mapa Instituc Corrupc 2023'!$O$34),"")</f>
        <v/>
      </c>
      <c r="K40" s="77" t="str">
        <f>IF(AND('Mapa Instituc Corrupc 2023'!$Y$35="Baja",'Mapa Instituc Corrupc 2023'!$AA$35="Leve"),CONCATENATE("R5C",'Mapa Instituc Corrupc 2023'!$O$35),"")</f>
        <v/>
      </c>
      <c r="L40" s="77" t="str">
        <f>IF(AND('Mapa Instituc Corrupc 2023'!$Y$36="Baja",'Mapa Instituc Corrupc 2023'!$AA$36="Leve"),CONCATENATE("R5C",'Mapa Instituc Corrupc 2023'!$O$36),"")</f>
        <v/>
      </c>
      <c r="M40" s="77" t="str">
        <f>IF(AND('Mapa Instituc Corrupc 2023'!$Y$37="Baja",'Mapa Instituc Corrupc 2023'!$AA$37="Leve"),CONCATENATE("R5C",'Mapa Instituc Corrupc 2023'!$O$37),"")</f>
        <v/>
      </c>
      <c r="N40" s="77" t="str">
        <f>IF(AND('Mapa Instituc Corrupc 2023'!$Y$38="Baja",'Mapa Instituc Corrupc 2023'!$AA$38="Leve"),CONCATENATE("R5C",'Mapa Instituc Corrupc 2023'!$O$38),"")</f>
        <v/>
      </c>
      <c r="O40" s="78" t="str">
        <f>IF(AND('Mapa Instituc Corrupc 2023'!$Y$39="Baja",'Mapa Instituc Corrupc 2023'!$AA$39="Leve"),CONCATENATE("R5C",'Mapa Instituc Corrupc 2023'!$O$39),"")</f>
        <v/>
      </c>
      <c r="P40" s="67" t="str">
        <f>IF(AND('Mapa Instituc Corrupc 2023'!$Y$34="Baja",'Mapa Instituc Corrupc 2023'!$AA$34="Menor"),CONCATENATE("R5C",'Mapa Instituc Corrupc 2023'!$O$34),"")</f>
        <v/>
      </c>
      <c r="Q40" s="68" t="str">
        <f>IF(AND('Mapa Instituc Corrupc 2023'!$Y$35="Baja",'Mapa Instituc Corrupc 2023'!$AA$35="Menor"),CONCATENATE("R5C",'Mapa Instituc Corrupc 2023'!$O$35),"")</f>
        <v/>
      </c>
      <c r="R40" s="68" t="str">
        <f>IF(AND('Mapa Instituc Corrupc 2023'!$Y$36="Baja",'Mapa Instituc Corrupc 2023'!$AA$36="Menor"),CONCATENATE("R5C",'Mapa Instituc Corrupc 2023'!$O$36),"")</f>
        <v/>
      </c>
      <c r="S40" s="68" t="str">
        <f>IF(AND('Mapa Instituc Corrupc 2023'!$Y$37="Baja",'Mapa Instituc Corrupc 2023'!$AA$37="Menor"),CONCATENATE("R5C",'Mapa Instituc Corrupc 2023'!$O$37),"")</f>
        <v/>
      </c>
      <c r="T40" s="68" t="str">
        <f>IF(AND('Mapa Instituc Corrupc 2023'!$Y$38="Baja",'Mapa Instituc Corrupc 2023'!$AA$38="Menor"),CONCATENATE("R5C",'Mapa Instituc Corrupc 2023'!$O$38),"")</f>
        <v/>
      </c>
      <c r="U40" s="69" t="str">
        <f>IF(AND('Mapa Instituc Corrupc 2023'!$Y$39="Baja",'Mapa Instituc Corrupc 2023'!$AA$39="Menor"),CONCATENATE("R5C",'Mapa Instituc Corrupc 2023'!$O$39),"")</f>
        <v/>
      </c>
      <c r="V40" s="67" t="str">
        <f>IF(AND('Mapa Instituc Corrupc 2023'!$Y$34="Baja",'Mapa Instituc Corrupc 2023'!$AA$34="Moderado"),CONCATENATE("R5C",'Mapa Instituc Corrupc 2023'!$O$34),"")</f>
        <v/>
      </c>
      <c r="W40" s="68" t="str">
        <f>IF(AND('Mapa Instituc Corrupc 2023'!$Y$35="Baja",'Mapa Instituc Corrupc 2023'!$AA$35="Moderado"),CONCATENATE("R5C",'Mapa Instituc Corrupc 2023'!$O$35),"")</f>
        <v/>
      </c>
      <c r="X40" s="68" t="str">
        <f>IF(AND('Mapa Instituc Corrupc 2023'!$Y$36="Baja",'Mapa Instituc Corrupc 2023'!$AA$36="Moderado"),CONCATENATE("R5C",'Mapa Instituc Corrupc 2023'!$O$36),"")</f>
        <v/>
      </c>
      <c r="Y40" s="68" t="str">
        <f>IF(AND('Mapa Instituc Corrupc 2023'!$Y$37="Baja",'Mapa Instituc Corrupc 2023'!$AA$37="Moderado"),CONCATENATE("R5C",'Mapa Instituc Corrupc 2023'!$O$37),"")</f>
        <v/>
      </c>
      <c r="Z40" s="68" t="str">
        <f>IF(AND('Mapa Instituc Corrupc 2023'!$Y$38="Baja",'Mapa Instituc Corrupc 2023'!$AA$38="Moderado"),CONCATENATE("R5C",'Mapa Instituc Corrupc 2023'!$O$38),"")</f>
        <v/>
      </c>
      <c r="AA40" s="69" t="str">
        <f>IF(AND('Mapa Instituc Corrupc 2023'!$Y$39="Baja",'Mapa Instituc Corrupc 2023'!$AA$39="Moderado"),CONCATENATE("R5C",'Mapa Instituc Corrupc 2023'!$O$39),"")</f>
        <v/>
      </c>
      <c r="AB40" s="51" t="str">
        <f>IF(AND('Mapa Instituc Corrupc 2023'!$Y$34="Baja",'Mapa Instituc Corrupc 2023'!$AA$34="Mayor"),CONCATENATE("R5C",'Mapa Instituc Corrupc 2023'!$O$34),"")</f>
        <v/>
      </c>
      <c r="AC40" s="52" t="str">
        <f>IF(AND('Mapa Instituc Corrupc 2023'!$Y$35="Baja",'Mapa Instituc Corrupc 2023'!$AA$35="Mayor"),CONCATENATE("R5C",'Mapa Instituc Corrupc 2023'!$O$35),"")</f>
        <v/>
      </c>
      <c r="AD40" s="57" t="str">
        <f>IF(AND('Mapa Instituc Corrupc 2023'!$Y$36="Baja",'Mapa Instituc Corrupc 2023'!$AA$36="Mayor"),CONCATENATE("R5C",'Mapa Instituc Corrupc 2023'!$O$36),"")</f>
        <v/>
      </c>
      <c r="AE40" s="57" t="str">
        <f>IF(AND('Mapa Instituc Corrupc 2023'!$Y$37="Baja",'Mapa Instituc Corrupc 2023'!$AA$37="Mayor"),CONCATENATE("R5C",'Mapa Instituc Corrupc 2023'!$O$37),"")</f>
        <v/>
      </c>
      <c r="AF40" s="57" t="str">
        <f>IF(AND('Mapa Instituc Corrupc 2023'!$Y$38="Baja",'Mapa Instituc Corrupc 2023'!$AA$38="Mayor"),CONCATENATE("R5C",'Mapa Instituc Corrupc 2023'!$O$38),"")</f>
        <v/>
      </c>
      <c r="AG40" s="53" t="str">
        <f>IF(AND('Mapa Instituc Corrupc 2023'!$Y$39="Baja",'Mapa Instituc Corrupc 2023'!$AA$39="Mayor"),CONCATENATE("R5C",'Mapa Instituc Corrupc 2023'!$O$39),"")</f>
        <v/>
      </c>
      <c r="AH40" s="54" t="str">
        <f>IF(AND('Mapa Instituc Corrupc 2023'!$Y$34="Baja",'Mapa Instituc Corrupc 2023'!$AA$34="Catastrófico"),CONCATENATE("R5C",'Mapa Instituc Corrupc 2023'!$O$34),"")</f>
        <v/>
      </c>
      <c r="AI40" s="55" t="str">
        <f>IF(AND('Mapa Instituc Corrupc 2023'!$Y$35="Baja",'Mapa Instituc Corrupc 2023'!$AA$35="Catastrófico"),CONCATENATE("R5C",'Mapa Instituc Corrupc 2023'!$O$35),"")</f>
        <v/>
      </c>
      <c r="AJ40" s="55" t="str">
        <f>IF(AND('Mapa Instituc Corrupc 2023'!$Y$36="Baja",'Mapa Instituc Corrupc 2023'!$AA$36="Catastrófico"),CONCATENATE("R5C",'Mapa Instituc Corrupc 2023'!$O$36),"")</f>
        <v/>
      </c>
      <c r="AK40" s="55" t="str">
        <f>IF(AND('Mapa Instituc Corrupc 2023'!$Y$37="Baja",'Mapa Instituc Corrupc 2023'!$AA$37="Catastrófico"),CONCATENATE("R5C",'Mapa Instituc Corrupc 2023'!$O$37),"")</f>
        <v/>
      </c>
      <c r="AL40" s="55" t="str">
        <f>IF(AND('Mapa Instituc Corrupc 2023'!$Y$38="Baja",'Mapa Instituc Corrupc 2023'!$AA$38="Catastrófico"),CONCATENATE("R5C",'Mapa Instituc Corrupc 2023'!$O$38),"")</f>
        <v/>
      </c>
      <c r="AM40" s="56" t="str">
        <f>IF(AND('Mapa Instituc Corrupc 2023'!$Y$39="Baja",'Mapa Instituc Corrupc 2023'!$AA$39="Catastrófico"),CONCATENATE("R5C",'Mapa Instituc Corrupc 2023'!$O$39),"")</f>
        <v/>
      </c>
      <c r="AN40" s="83"/>
      <c r="AO40" s="502"/>
      <c r="AP40" s="503"/>
      <c r="AQ40" s="503"/>
      <c r="AR40" s="503"/>
      <c r="AS40" s="503"/>
      <c r="AT40" s="504"/>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380"/>
      <c r="C41" s="380"/>
      <c r="D41" s="381"/>
      <c r="E41" s="481"/>
      <c r="F41" s="482"/>
      <c r="G41" s="482"/>
      <c r="H41" s="482"/>
      <c r="I41" s="480"/>
      <c r="J41" s="76" t="str">
        <f>IF(AND('Mapa Instituc Corrupc 2023'!$Y$40="Baja",'Mapa Instituc Corrupc 2023'!$AA$40="Leve"),CONCATENATE("R6C",'Mapa Instituc Corrupc 2023'!$O$40),"")</f>
        <v/>
      </c>
      <c r="K41" s="77" t="str">
        <f>IF(AND('Mapa Instituc Corrupc 2023'!$Y$41="Baja",'Mapa Instituc Corrupc 2023'!$AA$41="Leve"),CONCATENATE("R6C",'Mapa Instituc Corrupc 2023'!$O$41),"")</f>
        <v/>
      </c>
      <c r="L41" s="77" t="str">
        <f>IF(AND('Mapa Instituc Corrupc 2023'!$Y$42="Baja",'Mapa Instituc Corrupc 2023'!$AA$42="Leve"),CONCATENATE("R6C",'Mapa Instituc Corrupc 2023'!$O$42),"")</f>
        <v/>
      </c>
      <c r="M41" s="77" t="str">
        <f>IF(AND('Mapa Instituc Corrupc 2023'!$Y$43="Baja",'Mapa Instituc Corrupc 2023'!$AA$43="Leve"),CONCATENATE("R6C",'Mapa Instituc Corrupc 2023'!$O$43),"")</f>
        <v/>
      </c>
      <c r="N41" s="77" t="str">
        <f>IF(AND('Mapa Instituc Corrupc 2023'!$Y$44="Baja",'Mapa Instituc Corrupc 2023'!$AA$44="Leve"),CONCATENATE("R6C",'Mapa Instituc Corrupc 2023'!$O$44),"")</f>
        <v/>
      </c>
      <c r="O41" s="78" t="str">
        <f>IF(AND('Mapa Instituc Corrupc 2023'!$Y$45="Baja",'Mapa Instituc Corrupc 2023'!$AA$45="Leve"),CONCATENATE("R6C",'Mapa Instituc Corrupc 2023'!$O$45),"")</f>
        <v/>
      </c>
      <c r="P41" s="67" t="str">
        <f>IF(AND('Mapa Instituc Corrupc 2023'!$Y$40="Baja",'Mapa Instituc Corrupc 2023'!$AA$40="Menor"),CONCATENATE("R6C",'Mapa Instituc Corrupc 2023'!$O$40),"")</f>
        <v/>
      </c>
      <c r="Q41" s="68" t="str">
        <f>IF(AND('Mapa Instituc Corrupc 2023'!$Y$41="Baja",'Mapa Instituc Corrupc 2023'!$AA$41="Menor"),CONCATENATE("R6C",'Mapa Instituc Corrupc 2023'!$O$41),"")</f>
        <v/>
      </c>
      <c r="R41" s="68" t="str">
        <f>IF(AND('Mapa Instituc Corrupc 2023'!$Y$42="Baja",'Mapa Instituc Corrupc 2023'!$AA$42="Menor"),CONCATENATE("R6C",'Mapa Instituc Corrupc 2023'!$O$42),"")</f>
        <v/>
      </c>
      <c r="S41" s="68" t="str">
        <f>IF(AND('Mapa Instituc Corrupc 2023'!$Y$43="Baja",'Mapa Instituc Corrupc 2023'!$AA$43="Menor"),CONCATENATE("R6C",'Mapa Instituc Corrupc 2023'!$O$43),"")</f>
        <v/>
      </c>
      <c r="T41" s="68" t="str">
        <f>IF(AND('Mapa Instituc Corrupc 2023'!$Y$44="Baja",'Mapa Instituc Corrupc 2023'!$AA$44="Menor"),CONCATENATE("R6C",'Mapa Instituc Corrupc 2023'!$O$44),"")</f>
        <v/>
      </c>
      <c r="U41" s="69" t="str">
        <f>IF(AND('Mapa Instituc Corrupc 2023'!$Y$45="Baja",'Mapa Instituc Corrupc 2023'!$AA$45="Menor"),CONCATENATE("R6C",'Mapa Instituc Corrupc 2023'!$O$45),"")</f>
        <v/>
      </c>
      <c r="V41" s="67" t="str">
        <f>IF(AND('Mapa Instituc Corrupc 2023'!$Y$40="Baja",'Mapa Instituc Corrupc 2023'!$AA$40="Moderado"),CONCATENATE("R6C",'Mapa Instituc Corrupc 2023'!$O$40),"")</f>
        <v/>
      </c>
      <c r="W41" s="68" t="str">
        <f>IF(AND('Mapa Instituc Corrupc 2023'!$Y$41="Baja",'Mapa Instituc Corrupc 2023'!$AA$41="Moderado"),CONCATENATE("R6C",'Mapa Instituc Corrupc 2023'!$O$41),"")</f>
        <v/>
      </c>
      <c r="X41" s="68" t="str">
        <f>IF(AND('Mapa Instituc Corrupc 2023'!$Y$42="Baja",'Mapa Instituc Corrupc 2023'!$AA$42="Moderado"),CONCATENATE("R6C",'Mapa Instituc Corrupc 2023'!$O$42),"")</f>
        <v/>
      </c>
      <c r="Y41" s="68" t="str">
        <f>IF(AND('Mapa Instituc Corrupc 2023'!$Y$43="Baja",'Mapa Instituc Corrupc 2023'!$AA$43="Moderado"),CONCATENATE("R6C",'Mapa Instituc Corrupc 2023'!$O$43),"")</f>
        <v/>
      </c>
      <c r="Z41" s="68" t="str">
        <f>IF(AND('Mapa Instituc Corrupc 2023'!$Y$44="Baja",'Mapa Instituc Corrupc 2023'!$AA$44="Moderado"),CONCATENATE("R6C",'Mapa Instituc Corrupc 2023'!$O$44),"")</f>
        <v/>
      </c>
      <c r="AA41" s="69" t="str">
        <f>IF(AND('Mapa Instituc Corrupc 2023'!$Y$45="Baja",'Mapa Instituc Corrupc 2023'!$AA$45="Moderado"),CONCATENATE("R6C",'Mapa Instituc Corrupc 2023'!$O$45),"")</f>
        <v/>
      </c>
      <c r="AB41" s="51" t="str">
        <f>IF(AND('Mapa Instituc Corrupc 2023'!$Y$40="Baja",'Mapa Instituc Corrupc 2023'!$AA$40="Mayor"),CONCATENATE("R6C",'Mapa Instituc Corrupc 2023'!$O$40),"")</f>
        <v/>
      </c>
      <c r="AC41" s="52" t="str">
        <f>IF(AND('Mapa Instituc Corrupc 2023'!$Y$41="Baja",'Mapa Instituc Corrupc 2023'!$AA$41="Mayor"),CONCATENATE("R6C",'Mapa Instituc Corrupc 2023'!$O$41),"")</f>
        <v/>
      </c>
      <c r="AD41" s="57" t="str">
        <f>IF(AND('Mapa Instituc Corrupc 2023'!$Y$42="Baja",'Mapa Instituc Corrupc 2023'!$AA$42="Mayor"),CONCATENATE("R6C",'Mapa Instituc Corrupc 2023'!$O$42),"")</f>
        <v/>
      </c>
      <c r="AE41" s="57" t="str">
        <f>IF(AND('Mapa Instituc Corrupc 2023'!$Y$43="Baja",'Mapa Instituc Corrupc 2023'!$AA$43="Mayor"),CONCATENATE("R6C",'Mapa Instituc Corrupc 2023'!$O$43),"")</f>
        <v/>
      </c>
      <c r="AF41" s="57" t="str">
        <f>IF(AND('Mapa Instituc Corrupc 2023'!$Y$44="Baja",'Mapa Instituc Corrupc 2023'!$AA$44="Mayor"),CONCATENATE("R6C",'Mapa Instituc Corrupc 2023'!$O$44),"")</f>
        <v/>
      </c>
      <c r="AG41" s="53" t="str">
        <f>IF(AND('Mapa Instituc Corrupc 2023'!$Y$45="Baja",'Mapa Instituc Corrupc 2023'!$AA$45="Mayor"),CONCATENATE("R6C",'Mapa Instituc Corrupc 2023'!$O$45),"")</f>
        <v/>
      </c>
      <c r="AH41" s="54" t="str">
        <f>IF(AND('Mapa Instituc Corrupc 2023'!$Y$40="Baja",'Mapa Instituc Corrupc 2023'!$AA$40="Catastrófico"),CONCATENATE("R6C",'Mapa Instituc Corrupc 2023'!$O$40),"")</f>
        <v/>
      </c>
      <c r="AI41" s="55" t="str">
        <f>IF(AND('Mapa Instituc Corrupc 2023'!$Y$41="Baja",'Mapa Instituc Corrupc 2023'!$AA$41="Catastrófico"),CONCATENATE("R6C",'Mapa Instituc Corrupc 2023'!$O$41),"")</f>
        <v/>
      </c>
      <c r="AJ41" s="55" t="str">
        <f>IF(AND('Mapa Instituc Corrupc 2023'!$Y$42="Baja",'Mapa Instituc Corrupc 2023'!$AA$42="Catastrófico"),CONCATENATE("R6C",'Mapa Instituc Corrupc 2023'!$O$42),"")</f>
        <v/>
      </c>
      <c r="AK41" s="55" t="str">
        <f>IF(AND('Mapa Instituc Corrupc 2023'!$Y$43="Baja",'Mapa Instituc Corrupc 2023'!$AA$43="Catastrófico"),CONCATENATE("R6C",'Mapa Instituc Corrupc 2023'!$O$43),"")</f>
        <v/>
      </c>
      <c r="AL41" s="55" t="str">
        <f>IF(AND('Mapa Instituc Corrupc 2023'!$Y$44="Baja",'Mapa Instituc Corrupc 2023'!$AA$44="Catastrófico"),CONCATENATE("R6C",'Mapa Instituc Corrupc 2023'!$O$44),"")</f>
        <v/>
      </c>
      <c r="AM41" s="56" t="str">
        <f>IF(AND('Mapa Instituc Corrupc 2023'!$Y$45="Baja",'Mapa Instituc Corrupc 2023'!$AA$45="Catastrófico"),CONCATENATE("R6C",'Mapa Instituc Corrupc 2023'!$O$45),"")</f>
        <v/>
      </c>
      <c r="AN41" s="83"/>
      <c r="AO41" s="502"/>
      <c r="AP41" s="503"/>
      <c r="AQ41" s="503"/>
      <c r="AR41" s="503"/>
      <c r="AS41" s="503"/>
      <c r="AT41" s="504"/>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380"/>
      <c r="C42" s="380"/>
      <c r="D42" s="381"/>
      <c r="E42" s="481"/>
      <c r="F42" s="482"/>
      <c r="G42" s="482"/>
      <c r="H42" s="482"/>
      <c r="I42" s="480"/>
      <c r="J42" s="76" t="str">
        <f>IF(AND('Mapa Instituc Corrupc 2023'!$Y$46="Baja",'Mapa Instituc Corrupc 2023'!$AA$46="Leve"),CONCATENATE("R7C",'Mapa Instituc Corrupc 2023'!$O$46),"")</f>
        <v/>
      </c>
      <c r="K42" s="77" t="str">
        <f>IF(AND('Mapa Instituc Corrupc 2023'!$Y$47="Baja",'Mapa Instituc Corrupc 2023'!$AA$47="Leve"),CONCATENATE("R7C",'Mapa Instituc Corrupc 2023'!$O$47),"")</f>
        <v/>
      </c>
      <c r="L42" s="77" t="str">
        <f>IF(AND('Mapa Instituc Corrupc 2023'!$Y$48="Baja",'Mapa Instituc Corrupc 2023'!$AA$48="Leve"),CONCATENATE("R7C",'Mapa Instituc Corrupc 2023'!$O$48),"")</f>
        <v/>
      </c>
      <c r="M42" s="77" t="str">
        <f>IF(AND('Mapa Instituc Corrupc 2023'!$Y$49="Baja",'Mapa Instituc Corrupc 2023'!$AA$49="Leve"),CONCATENATE("R7C",'Mapa Instituc Corrupc 2023'!$O$49),"")</f>
        <v/>
      </c>
      <c r="N42" s="77" t="str">
        <f>IF(AND('Mapa Instituc Corrupc 2023'!$Y$50="Baja",'Mapa Instituc Corrupc 2023'!$AA$50="Leve"),CONCATENATE("R7C",'Mapa Instituc Corrupc 2023'!$O$50),"")</f>
        <v/>
      </c>
      <c r="O42" s="78" t="str">
        <f>IF(AND('Mapa Instituc Corrupc 2023'!$Y$51="Baja",'Mapa Instituc Corrupc 2023'!$AA$51="Leve"),CONCATENATE("R7C",'Mapa Instituc Corrupc 2023'!$O$51),"")</f>
        <v/>
      </c>
      <c r="P42" s="67" t="str">
        <f>IF(AND('Mapa Instituc Corrupc 2023'!$Y$46="Baja",'Mapa Instituc Corrupc 2023'!$AA$46="Menor"),CONCATENATE("R7C",'Mapa Instituc Corrupc 2023'!$O$46),"")</f>
        <v/>
      </c>
      <c r="Q42" s="68" t="str">
        <f>IF(AND('Mapa Instituc Corrupc 2023'!$Y$47="Baja",'Mapa Instituc Corrupc 2023'!$AA$47="Menor"),CONCATENATE("R7C",'Mapa Instituc Corrupc 2023'!$O$47),"")</f>
        <v/>
      </c>
      <c r="R42" s="68" t="str">
        <f>IF(AND('Mapa Instituc Corrupc 2023'!$Y$48="Baja",'Mapa Instituc Corrupc 2023'!$AA$48="Menor"),CONCATENATE("R7C",'Mapa Instituc Corrupc 2023'!$O$48),"")</f>
        <v/>
      </c>
      <c r="S42" s="68" t="str">
        <f>IF(AND('Mapa Instituc Corrupc 2023'!$Y$49="Baja",'Mapa Instituc Corrupc 2023'!$AA$49="Menor"),CONCATENATE("R7C",'Mapa Instituc Corrupc 2023'!$O$49),"")</f>
        <v/>
      </c>
      <c r="T42" s="68" t="str">
        <f>IF(AND('Mapa Instituc Corrupc 2023'!$Y$50="Baja",'Mapa Instituc Corrupc 2023'!$AA$50="Menor"),CONCATENATE("R7C",'Mapa Instituc Corrupc 2023'!$O$50),"")</f>
        <v/>
      </c>
      <c r="U42" s="69" t="str">
        <f>IF(AND('Mapa Instituc Corrupc 2023'!$Y$51="Baja",'Mapa Instituc Corrupc 2023'!$AA$51="Menor"),CONCATENATE("R7C",'Mapa Instituc Corrupc 2023'!$O$51),"")</f>
        <v/>
      </c>
      <c r="V42" s="67" t="str">
        <f>IF(AND('Mapa Instituc Corrupc 2023'!$Y$46="Baja",'Mapa Instituc Corrupc 2023'!$AA$46="Moderado"),CONCATENATE("R7C",'Mapa Instituc Corrupc 2023'!$O$46),"")</f>
        <v/>
      </c>
      <c r="W42" s="68" t="str">
        <f>IF(AND('Mapa Instituc Corrupc 2023'!$Y$47="Baja",'Mapa Instituc Corrupc 2023'!$AA$47="Moderado"),CONCATENATE("R7C",'Mapa Instituc Corrupc 2023'!$O$47),"")</f>
        <v/>
      </c>
      <c r="X42" s="68" t="str">
        <f>IF(AND('Mapa Instituc Corrupc 2023'!$Y$48="Baja",'Mapa Instituc Corrupc 2023'!$AA$48="Moderado"),CONCATENATE("R7C",'Mapa Instituc Corrupc 2023'!$O$48),"")</f>
        <v/>
      </c>
      <c r="Y42" s="68" t="str">
        <f>IF(AND('Mapa Instituc Corrupc 2023'!$Y$49="Baja",'Mapa Instituc Corrupc 2023'!$AA$49="Moderado"),CONCATENATE("R7C",'Mapa Instituc Corrupc 2023'!$O$49),"")</f>
        <v/>
      </c>
      <c r="Z42" s="68" t="str">
        <f>IF(AND('Mapa Instituc Corrupc 2023'!$Y$50="Baja",'Mapa Instituc Corrupc 2023'!$AA$50="Moderado"),CONCATENATE("R7C",'Mapa Instituc Corrupc 2023'!$O$50),"")</f>
        <v/>
      </c>
      <c r="AA42" s="69" t="str">
        <f>IF(AND('Mapa Instituc Corrupc 2023'!$Y$51="Baja",'Mapa Instituc Corrupc 2023'!$AA$51="Moderado"),CONCATENATE("R7C",'Mapa Instituc Corrupc 2023'!$O$51),"")</f>
        <v/>
      </c>
      <c r="AB42" s="51" t="str">
        <f>IF(AND('Mapa Instituc Corrupc 2023'!$Y$46="Baja",'Mapa Instituc Corrupc 2023'!$AA$46="Mayor"),CONCATENATE("R7C",'Mapa Instituc Corrupc 2023'!$O$46),"")</f>
        <v/>
      </c>
      <c r="AC42" s="52" t="str">
        <f>IF(AND('Mapa Instituc Corrupc 2023'!$Y$47="Baja",'Mapa Instituc Corrupc 2023'!$AA$47="Mayor"),CONCATENATE("R7C",'Mapa Instituc Corrupc 2023'!$O$47),"")</f>
        <v/>
      </c>
      <c r="AD42" s="57" t="str">
        <f>IF(AND('Mapa Instituc Corrupc 2023'!$Y$48="Baja",'Mapa Instituc Corrupc 2023'!$AA$48="Mayor"),CONCATENATE("R7C",'Mapa Instituc Corrupc 2023'!$O$48),"")</f>
        <v/>
      </c>
      <c r="AE42" s="57" t="str">
        <f>IF(AND('Mapa Instituc Corrupc 2023'!$Y$49="Baja",'Mapa Instituc Corrupc 2023'!$AA$49="Mayor"),CONCATENATE("R7C",'Mapa Instituc Corrupc 2023'!$O$49),"")</f>
        <v/>
      </c>
      <c r="AF42" s="57" t="str">
        <f>IF(AND('Mapa Instituc Corrupc 2023'!$Y$50="Baja",'Mapa Instituc Corrupc 2023'!$AA$50="Mayor"),CONCATENATE("R7C",'Mapa Instituc Corrupc 2023'!$O$50),"")</f>
        <v/>
      </c>
      <c r="AG42" s="53" t="str">
        <f>IF(AND('Mapa Instituc Corrupc 2023'!$Y$51="Baja",'Mapa Instituc Corrupc 2023'!$AA$51="Mayor"),CONCATENATE("R7C",'Mapa Instituc Corrupc 2023'!$O$51),"")</f>
        <v/>
      </c>
      <c r="AH42" s="54" t="str">
        <f>IF(AND('Mapa Instituc Corrupc 2023'!$Y$46="Baja",'Mapa Instituc Corrupc 2023'!$AA$46="Catastrófico"),CONCATENATE("R7C",'Mapa Instituc Corrupc 2023'!$O$46),"")</f>
        <v/>
      </c>
      <c r="AI42" s="55" t="str">
        <f>IF(AND('Mapa Instituc Corrupc 2023'!$Y$47="Baja",'Mapa Instituc Corrupc 2023'!$AA$47="Catastrófico"),CONCATENATE("R7C",'Mapa Instituc Corrupc 2023'!$O$47),"")</f>
        <v/>
      </c>
      <c r="AJ42" s="55" t="str">
        <f>IF(AND('Mapa Instituc Corrupc 2023'!$Y$48="Baja",'Mapa Instituc Corrupc 2023'!$AA$48="Catastrófico"),CONCATENATE("R7C",'Mapa Instituc Corrupc 2023'!$O$48),"")</f>
        <v/>
      </c>
      <c r="AK42" s="55" t="str">
        <f>IF(AND('Mapa Instituc Corrupc 2023'!$Y$49="Baja",'Mapa Instituc Corrupc 2023'!$AA$49="Catastrófico"),CONCATENATE("R7C",'Mapa Instituc Corrupc 2023'!$O$49),"")</f>
        <v/>
      </c>
      <c r="AL42" s="55" t="str">
        <f>IF(AND('Mapa Instituc Corrupc 2023'!$Y$50="Baja",'Mapa Instituc Corrupc 2023'!$AA$50="Catastrófico"),CONCATENATE("R7C",'Mapa Instituc Corrupc 2023'!$O$50),"")</f>
        <v/>
      </c>
      <c r="AM42" s="56" t="str">
        <f>IF(AND('Mapa Instituc Corrupc 2023'!$Y$51="Baja",'Mapa Instituc Corrupc 2023'!$AA$51="Catastrófico"),CONCATENATE("R7C",'Mapa Instituc Corrupc 2023'!$O$51),"")</f>
        <v/>
      </c>
      <c r="AN42" s="83"/>
      <c r="AO42" s="502"/>
      <c r="AP42" s="503"/>
      <c r="AQ42" s="503"/>
      <c r="AR42" s="503"/>
      <c r="AS42" s="503"/>
      <c r="AT42" s="504"/>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380"/>
      <c r="C43" s="380"/>
      <c r="D43" s="381"/>
      <c r="E43" s="481"/>
      <c r="F43" s="482"/>
      <c r="G43" s="482"/>
      <c r="H43" s="482"/>
      <c r="I43" s="480"/>
      <c r="J43" s="76" t="str">
        <f>IF(AND('Mapa Instituc Corrupc 2023'!$Y$52="Baja",'Mapa Instituc Corrupc 2023'!$AA$52="Leve"),CONCATENATE("R8C",'Mapa Instituc Corrupc 2023'!$O$52),"")</f>
        <v/>
      </c>
      <c r="K43" s="77" t="str">
        <f>IF(AND('Mapa Instituc Corrupc 2023'!$Y$53="Baja",'Mapa Instituc Corrupc 2023'!$AA$53="Leve"),CONCATENATE("R8C",'Mapa Instituc Corrupc 2023'!$O$53),"")</f>
        <v/>
      </c>
      <c r="L43" s="77" t="str">
        <f>IF(AND('Mapa Instituc Corrupc 2023'!$Y$54="Baja",'Mapa Instituc Corrupc 2023'!$AA$54="Leve"),CONCATENATE("R8C",'Mapa Instituc Corrupc 2023'!$O$54),"")</f>
        <v/>
      </c>
      <c r="M43" s="77" t="str">
        <f>IF(AND('Mapa Instituc Corrupc 2023'!$Y$55="Baja",'Mapa Instituc Corrupc 2023'!$AA$55="Leve"),CONCATENATE("R8C",'Mapa Instituc Corrupc 2023'!$O$55),"")</f>
        <v/>
      </c>
      <c r="N43" s="77" t="str">
        <f>IF(AND('Mapa Instituc Corrupc 2023'!$Y$56="Baja",'Mapa Instituc Corrupc 2023'!$AA$56="Leve"),CONCATENATE("R8C",'Mapa Instituc Corrupc 2023'!$O$56),"")</f>
        <v/>
      </c>
      <c r="O43" s="78" t="str">
        <f>IF(AND('Mapa Instituc Corrupc 2023'!$Y$57="Baja",'Mapa Instituc Corrupc 2023'!$AA$57="Leve"),CONCATENATE("R8C",'Mapa Instituc Corrupc 2023'!$O$57),"")</f>
        <v/>
      </c>
      <c r="P43" s="67" t="str">
        <f>IF(AND('Mapa Instituc Corrupc 2023'!$Y$52="Baja",'Mapa Instituc Corrupc 2023'!$AA$52="Menor"),CONCATENATE("R8C",'Mapa Instituc Corrupc 2023'!$O$52),"")</f>
        <v/>
      </c>
      <c r="Q43" s="68" t="str">
        <f>IF(AND('Mapa Instituc Corrupc 2023'!$Y$53="Baja",'Mapa Instituc Corrupc 2023'!$AA$53="Menor"),CONCATENATE("R8C",'Mapa Instituc Corrupc 2023'!$O$53),"")</f>
        <v/>
      </c>
      <c r="R43" s="68" t="str">
        <f>IF(AND('Mapa Instituc Corrupc 2023'!$Y$54="Baja",'Mapa Instituc Corrupc 2023'!$AA$54="Menor"),CONCATENATE("R8C",'Mapa Instituc Corrupc 2023'!$O$54),"")</f>
        <v/>
      </c>
      <c r="S43" s="68" t="str">
        <f>IF(AND('Mapa Instituc Corrupc 2023'!$Y$55="Baja",'Mapa Instituc Corrupc 2023'!$AA$55="Menor"),CONCATENATE("R8C",'Mapa Instituc Corrupc 2023'!$O$55),"")</f>
        <v/>
      </c>
      <c r="T43" s="68" t="str">
        <f>IF(AND('Mapa Instituc Corrupc 2023'!$Y$56="Baja",'Mapa Instituc Corrupc 2023'!$AA$56="Menor"),CONCATENATE("R8C",'Mapa Instituc Corrupc 2023'!$O$56),"")</f>
        <v/>
      </c>
      <c r="U43" s="69" t="str">
        <f>IF(AND('Mapa Instituc Corrupc 2023'!$Y$57="Baja",'Mapa Instituc Corrupc 2023'!$AA$57="Menor"),CONCATENATE("R8C",'Mapa Instituc Corrupc 2023'!$O$57),"")</f>
        <v/>
      </c>
      <c r="V43" s="67" t="str">
        <f>IF(AND('Mapa Instituc Corrupc 2023'!$Y$52="Baja",'Mapa Instituc Corrupc 2023'!$AA$52="Moderado"),CONCATENATE("R8C",'Mapa Instituc Corrupc 2023'!$O$52),"")</f>
        <v/>
      </c>
      <c r="W43" s="68" t="str">
        <f>IF(AND('Mapa Instituc Corrupc 2023'!$Y$53="Baja",'Mapa Instituc Corrupc 2023'!$AA$53="Moderado"),CONCATENATE("R8C",'Mapa Instituc Corrupc 2023'!$O$53),"")</f>
        <v/>
      </c>
      <c r="X43" s="68" t="str">
        <f>IF(AND('Mapa Instituc Corrupc 2023'!$Y$54="Baja",'Mapa Instituc Corrupc 2023'!$AA$54="Moderado"),CONCATENATE("R8C",'Mapa Instituc Corrupc 2023'!$O$54),"")</f>
        <v/>
      </c>
      <c r="Y43" s="68" t="str">
        <f>IF(AND('Mapa Instituc Corrupc 2023'!$Y$55="Baja",'Mapa Instituc Corrupc 2023'!$AA$55="Moderado"),CONCATENATE("R8C",'Mapa Instituc Corrupc 2023'!$O$55),"")</f>
        <v/>
      </c>
      <c r="Z43" s="68" t="str">
        <f>IF(AND('Mapa Instituc Corrupc 2023'!$Y$56="Baja",'Mapa Instituc Corrupc 2023'!$AA$56="Moderado"),CONCATENATE("R8C",'Mapa Instituc Corrupc 2023'!$O$56),"")</f>
        <v/>
      </c>
      <c r="AA43" s="69" t="str">
        <f>IF(AND('Mapa Instituc Corrupc 2023'!$Y$57="Baja",'Mapa Instituc Corrupc 2023'!$AA$57="Moderado"),CONCATENATE("R8C",'Mapa Instituc Corrupc 2023'!$O$57),"")</f>
        <v/>
      </c>
      <c r="AB43" s="51" t="str">
        <f>IF(AND('Mapa Instituc Corrupc 2023'!$Y$52="Baja",'Mapa Instituc Corrupc 2023'!$AA$52="Mayor"),CONCATENATE("R8C",'Mapa Instituc Corrupc 2023'!$O$52),"")</f>
        <v/>
      </c>
      <c r="AC43" s="52" t="str">
        <f>IF(AND('Mapa Instituc Corrupc 2023'!$Y$53="Baja",'Mapa Instituc Corrupc 2023'!$AA$53="Mayor"),CONCATENATE("R8C",'Mapa Instituc Corrupc 2023'!$O$53),"")</f>
        <v/>
      </c>
      <c r="AD43" s="57" t="str">
        <f>IF(AND('Mapa Instituc Corrupc 2023'!$Y$54="Baja",'Mapa Instituc Corrupc 2023'!$AA$54="Mayor"),CONCATENATE("R8C",'Mapa Instituc Corrupc 2023'!$O$54),"")</f>
        <v/>
      </c>
      <c r="AE43" s="57" t="str">
        <f>IF(AND('Mapa Instituc Corrupc 2023'!$Y$55="Baja",'Mapa Instituc Corrupc 2023'!$AA$55="Mayor"),CONCATENATE("R8C",'Mapa Instituc Corrupc 2023'!$O$55),"")</f>
        <v/>
      </c>
      <c r="AF43" s="57" t="str">
        <f>IF(AND('Mapa Instituc Corrupc 2023'!$Y$56="Baja",'Mapa Instituc Corrupc 2023'!$AA$56="Mayor"),CONCATENATE("R8C",'Mapa Instituc Corrupc 2023'!$O$56),"")</f>
        <v/>
      </c>
      <c r="AG43" s="53" t="str">
        <f>IF(AND('Mapa Instituc Corrupc 2023'!$Y$57="Baja",'Mapa Instituc Corrupc 2023'!$AA$57="Mayor"),CONCATENATE("R8C",'Mapa Instituc Corrupc 2023'!$O$57),"")</f>
        <v/>
      </c>
      <c r="AH43" s="54" t="str">
        <f>IF(AND('Mapa Instituc Corrupc 2023'!$Y$52="Baja",'Mapa Instituc Corrupc 2023'!$AA$52="Catastrófico"),CONCATENATE("R8C",'Mapa Instituc Corrupc 2023'!$O$52),"")</f>
        <v/>
      </c>
      <c r="AI43" s="55" t="str">
        <f>IF(AND('Mapa Instituc Corrupc 2023'!$Y$53="Baja",'Mapa Instituc Corrupc 2023'!$AA$53="Catastrófico"),CONCATENATE("R8C",'Mapa Instituc Corrupc 2023'!$O$53),"")</f>
        <v/>
      </c>
      <c r="AJ43" s="55" t="str">
        <f>IF(AND('Mapa Instituc Corrupc 2023'!$Y$54="Baja",'Mapa Instituc Corrupc 2023'!$AA$54="Catastrófico"),CONCATENATE("R8C",'Mapa Instituc Corrupc 2023'!$O$54),"")</f>
        <v/>
      </c>
      <c r="AK43" s="55" t="str">
        <f>IF(AND('Mapa Instituc Corrupc 2023'!$Y$55="Baja",'Mapa Instituc Corrupc 2023'!$AA$55="Catastrófico"),CONCATENATE("R8C",'Mapa Instituc Corrupc 2023'!$O$55),"")</f>
        <v/>
      </c>
      <c r="AL43" s="55" t="str">
        <f>IF(AND('Mapa Instituc Corrupc 2023'!$Y$56="Baja",'Mapa Instituc Corrupc 2023'!$AA$56="Catastrófico"),CONCATENATE("R8C",'Mapa Instituc Corrupc 2023'!$O$56),"")</f>
        <v/>
      </c>
      <c r="AM43" s="56" t="str">
        <f>IF(AND('Mapa Instituc Corrupc 2023'!$Y$57="Baja",'Mapa Instituc Corrupc 2023'!$AA$57="Catastrófico"),CONCATENATE("R8C",'Mapa Instituc Corrupc 2023'!$O$57),"")</f>
        <v/>
      </c>
      <c r="AN43" s="83"/>
      <c r="AO43" s="502"/>
      <c r="AP43" s="503"/>
      <c r="AQ43" s="503"/>
      <c r="AR43" s="503"/>
      <c r="AS43" s="503"/>
      <c r="AT43" s="504"/>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380"/>
      <c r="C44" s="380"/>
      <c r="D44" s="381"/>
      <c r="E44" s="481"/>
      <c r="F44" s="482"/>
      <c r="G44" s="482"/>
      <c r="H44" s="482"/>
      <c r="I44" s="480"/>
      <c r="J44" s="76" t="str">
        <f>IF(AND('Mapa Instituc Corrupc 2023'!$Y$58="Baja",'Mapa Instituc Corrupc 2023'!$AA$58="Leve"),CONCATENATE("R9C",'Mapa Instituc Corrupc 2023'!$O$58),"")</f>
        <v/>
      </c>
      <c r="K44" s="77" t="str">
        <f>IF(AND('Mapa Instituc Corrupc 2023'!$Y$59="Baja",'Mapa Instituc Corrupc 2023'!$AA$59="Leve"),CONCATENATE("R9C",'Mapa Instituc Corrupc 2023'!$O$59),"")</f>
        <v/>
      </c>
      <c r="L44" s="77" t="str">
        <f>IF(AND('Mapa Instituc Corrupc 2023'!$Y$60="Baja",'Mapa Instituc Corrupc 2023'!$AA$60="Leve"),CONCATENATE("R9C",'Mapa Instituc Corrupc 2023'!$O$60),"")</f>
        <v/>
      </c>
      <c r="M44" s="77" t="str">
        <f>IF(AND('Mapa Instituc Corrupc 2023'!$Y$61="Baja",'Mapa Instituc Corrupc 2023'!$AA$61="Leve"),CONCATENATE("R9C",'Mapa Instituc Corrupc 2023'!$O$61),"")</f>
        <v/>
      </c>
      <c r="N44" s="77" t="str">
        <f>IF(AND('Mapa Instituc Corrupc 2023'!$Y$62="Baja",'Mapa Instituc Corrupc 2023'!$AA$62="Leve"),CONCATENATE("R9C",'Mapa Instituc Corrupc 2023'!$O$62),"")</f>
        <v/>
      </c>
      <c r="O44" s="78" t="str">
        <f>IF(AND('Mapa Instituc Corrupc 2023'!$Y$63="Baja",'Mapa Instituc Corrupc 2023'!$AA$63="Leve"),CONCATENATE("R9C",'Mapa Instituc Corrupc 2023'!$O$63),"")</f>
        <v/>
      </c>
      <c r="P44" s="67" t="str">
        <f>IF(AND('Mapa Instituc Corrupc 2023'!$Y$58="Baja",'Mapa Instituc Corrupc 2023'!$AA$58="Menor"),CONCATENATE("R9C",'Mapa Instituc Corrupc 2023'!$O$58),"")</f>
        <v/>
      </c>
      <c r="Q44" s="68" t="str">
        <f>IF(AND('Mapa Instituc Corrupc 2023'!$Y$59="Baja",'Mapa Instituc Corrupc 2023'!$AA$59="Menor"),CONCATENATE("R9C",'Mapa Instituc Corrupc 2023'!$O$59),"")</f>
        <v/>
      </c>
      <c r="R44" s="68" t="str">
        <f>IF(AND('Mapa Instituc Corrupc 2023'!$Y$60="Baja",'Mapa Instituc Corrupc 2023'!$AA$60="Menor"),CONCATENATE("R9C",'Mapa Instituc Corrupc 2023'!$O$60),"")</f>
        <v/>
      </c>
      <c r="S44" s="68" t="str">
        <f>IF(AND('Mapa Instituc Corrupc 2023'!$Y$61="Baja",'Mapa Instituc Corrupc 2023'!$AA$61="Menor"),CONCATENATE("R9C",'Mapa Instituc Corrupc 2023'!$O$61),"")</f>
        <v/>
      </c>
      <c r="T44" s="68" t="str">
        <f>IF(AND('Mapa Instituc Corrupc 2023'!$Y$62="Baja",'Mapa Instituc Corrupc 2023'!$AA$62="Menor"),CONCATENATE("R9C",'Mapa Instituc Corrupc 2023'!$O$62),"")</f>
        <v/>
      </c>
      <c r="U44" s="69" t="str">
        <f>IF(AND('Mapa Instituc Corrupc 2023'!$Y$63="Baja",'Mapa Instituc Corrupc 2023'!$AA$63="Menor"),CONCATENATE("R9C",'Mapa Instituc Corrupc 2023'!$O$63),"")</f>
        <v/>
      </c>
      <c r="V44" s="67" t="str">
        <f>IF(AND('Mapa Instituc Corrupc 2023'!$Y$58="Baja",'Mapa Instituc Corrupc 2023'!$AA$58="Moderado"),CONCATENATE("R9C",'Mapa Instituc Corrupc 2023'!$O$58),"")</f>
        <v/>
      </c>
      <c r="W44" s="68" t="str">
        <f>IF(AND('Mapa Instituc Corrupc 2023'!$Y$59="Baja",'Mapa Instituc Corrupc 2023'!$AA$59="Moderado"),CONCATENATE("R9C",'Mapa Instituc Corrupc 2023'!$O$59),"")</f>
        <v/>
      </c>
      <c r="X44" s="68" t="str">
        <f>IF(AND('Mapa Instituc Corrupc 2023'!$Y$60="Baja",'Mapa Instituc Corrupc 2023'!$AA$60="Moderado"),CONCATENATE("R9C",'Mapa Instituc Corrupc 2023'!$O$60),"")</f>
        <v/>
      </c>
      <c r="Y44" s="68" t="str">
        <f>IF(AND('Mapa Instituc Corrupc 2023'!$Y$61="Baja",'Mapa Instituc Corrupc 2023'!$AA$61="Moderado"),CONCATENATE("R9C",'Mapa Instituc Corrupc 2023'!$O$61),"")</f>
        <v/>
      </c>
      <c r="Z44" s="68" t="str">
        <f>IF(AND('Mapa Instituc Corrupc 2023'!$Y$62="Baja",'Mapa Instituc Corrupc 2023'!$AA$62="Moderado"),CONCATENATE("R9C",'Mapa Instituc Corrupc 2023'!$O$62),"")</f>
        <v/>
      </c>
      <c r="AA44" s="69" t="str">
        <f>IF(AND('Mapa Instituc Corrupc 2023'!$Y$63="Baja",'Mapa Instituc Corrupc 2023'!$AA$63="Moderado"),CONCATENATE("R9C",'Mapa Instituc Corrupc 2023'!$O$63),"")</f>
        <v/>
      </c>
      <c r="AB44" s="51" t="str">
        <f>IF(AND('Mapa Instituc Corrupc 2023'!$Y$58="Baja",'Mapa Instituc Corrupc 2023'!$AA$58="Mayor"),CONCATENATE("R9C",'Mapa Instituc Corrupc 2023'!$O$58),"")</f>
        <v/>
      </c>
      <c r="AC44" s="52" t="str">
        <f>IF(AND('Mapa Instituc Corrupc 2023'!$Y$59="Baja",'Mapa Instituc Corrupc 2023'!$AA$59="Mayor"),CONCATENATE("R9C",'Mapa Instituc Corrupc 2023'!$O$59),"")</f>
        <v/>
      </c>
      <c r="AD44" s="57" t="str">
        <f>IF(AND('Mapa Instituc Corrupc 2023'!$Y$60="Baja",'Mapa Instituc Corrupc 2023'!$AA$60="Mayor"),CONCATENATE("R9C",'Mapa Instituc Corrupc 2023'!$O$60),"")</f>
        <v/>
      </c>
      <c r="AE44" s="57" t="str">
        <f>IF(AND('Mapa Instituc Corrupc 2023'!$Y$61="Baja",'Mapa Instituc Corrupc 2023'!$AA$61="Mayor"),CONCATENATE("R9C",'Mapa Instituc Corrupc 2023'!$O$61),"")</f>
        <v/>
      </c>
      <c r="AF44" s="57" t="str">
        <f>IF(AND('Mapa Instituc Corrupc 2023'!$Y$62="Baja",'Mapa Instituc Corrupc 2023'!$AA$62="Mayor"),CONCATENATE("R9C",'Mapa Instituc Corrupc 2023'!$O$62),"")</f>
        <v/>
      </c>
      <c r="AG44" s="53" t="str">
        <f>IF(AND('Mapa Instituc Corrupc 2023'!$Y$63="Baja",'Mapa Instituc Corrupc 2023'!$AA$63="Mayor"),CONCATENATE("R9C",'Mapa Instituc Corrupc 2023'!$O$63),"")</f>
        <v/>
      </c>
      <c r="AH44" s="54" t="str">
        <f>IF(AND('Mapa Instituc Corrupc 2023'!$Y$58="Baja",'Mapa Instituc Corrupc 2023'!$AA$58="Catastrófico"),CONCATENATE("R9C",'Mapa Instituc Corrupc 2023'!$O$58),"")</f>
        <v/>
      </c>
      <c r="AI44" s="55" t="str">
        <f>IF(AND('Mapa Instituc Corrupc 2023'!$Y$59="Baja",'Mapa Instituc Corrupc 2023'!$AA$59="Catastrófico"),CONCATENATE("R9C",'Mapa Instituc Corrupc 2023'!$O$59),"")</f>
        <v/>
      </c>
      <c r="AJ44" s="55" t="str">
        <f>IF(AND('Mapa Instituc Corrupc 2023'!$Y$60="Baja",'Mapa Instituc Corrupc 2023'!$AA$60="Catastrófico"),CONCATENATE("R9C",'Mapa Instituc Corrupc 2023'!$O$60),"")</f>
        <v/>
      </c>
      <c r="AK44" s="55" t="str">
        <f>IF(AND('Mapa Instituc Corrupc 2023'!$Y$61="Baja",'Mapa Instituc Corrupc 2023'!$AA$61="Catastrófico"),CONCATENATE("R9C",'Mapa Instituc Corrupc 2023'!$O$61),"")</f>
        <v/>
      </c>
      <c r="AL44" s="55" t="str">
        <f>IF(AND('Mapa Instituc Corrupc 2023'!$Y$62="Baja",'Mapa Instituc Corrupc 2023'!$AA$62="Catastrófico"),CONCATENATE("R9C",'Mapa Instituc Corrupc 2023'!$O$62),"")</f>
        <v/>
      </c>
      <c r="AM44" s="56" t="str">
        <f>IF(AND('Mapa Instituc Corrupc 2023'!$Y$63="Baja",'Mapa Instituc Corrupc 2023'!$AA$63="Catastrófico"),CONCATENATE("R9C",'Mapa Instituc Corrupc 2023'!$O$63),"")</f>
        <v/>
      </c>
      <c r="AN44" s="83"/>
      <c r="AO44" s="502"/>
      <c r="AP44" s="503"/>
      <c r="AQ44" s="503"/>
      <c r="AR44" s="503"/>
      <c r="AS44" s="503"/>
      <c r="AT44" s="504"/>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380"/>
      <c r="C45" s="380"/>
      <c r="D45" s="381"/>
      <c r="E45" s="483"/>
      <c r="F45" s="484"/>
      <c r="G45" s="484"/>
      <c r="H45" s="484"/>
      <c r="I45" s="484"/>
      <c r="J45" s="79" t="str">
        <f>IF(AND('Mapa Instituc Corrupc 2023'!$Y$64="Baja",'Mapa Instituc Corrupc 2023'!$AA$64="Leve"),CONCATENATE("R10C",'Mapa Instituc Corrupc 2023'!$O$64),"")</f>
        <v/>
      </c>
      <c r="K45" s="80" t="str">
        <f>IF(AND('Mapa Instituc Corrupc 2023'!$Y$65="Baja",'Mapa Instituc Corrupc 2023'!$AA$65="Leve"),CONCATENATE("R10C",'Mapa Instituc Corrupc 2023'!$O$65),"")</f>
        <v/>
      </c>
      <c r="L45" s="80" t="str">
        <f>IF(AND('Mapa Instituc Corrupc 2023'!$Y$66="Baja",'Mapa Instituc Corrupc 2023'!$AA$66="Leve"),CONCATENATE("R10C",'Mapa Instituc Corrupc 2023'!$O$66),"")</f>
        <v/>
      </c>
      <c r="M45" s="80" t="str">
        <f>IF(AND('Mapa Instituc Corrupc 2023'!$Y$67="Baja",'Mapa Instituc Corrupc 2023'!$AA$67="Leve"),CONCATENATE("R10C",'Mapa Instituc Corrupc 2023'!$O$67),"")</f>
        <v/>
      </c>
      <c r="N45" s="80" t="str">
        <f>IF(AND('Mapa Instituc Corrupc 2023'!$Y$68="Baja",'Mapa Instituc Corrupc 2023'!$AA$68="Leve"),CONCATENATE("R10C",'Mapa Instituc Corrupc 2023'!$O$68),"")</f>
        <v/>
      </c>
      <c r="O45" s="81" t="str">
        <f>IF(AND('Mapa Instituc Corrupc 2023'!$Y$69="Baja",'Mapa Instituc Corrupc 2023'!$AA$69="Leve"),CONCATENATE("R10C",'Mapa Instituc Corrupc 2023'!$O$69),"")</f>
        <v/>
      </c>
      <c r="P45" s="67" t="str">
        <f>IF(AND('Mapa Instituc Corrupc 2023'!$Y$64="Baja",'Mapa Instituc Corrupc 2023'!$AA$64="Menor"),CONCATENATE("R10C",'Mapa Instituc Corrupc 2023'!$O$64),"")</f>
        <v/>
      </c>
      <c r="Q45" s="68" t="str">
        <f>IF(AND('Mapa Instituc Corrupc 2023'!$Y$65="Baja",'Mapa Instituc Corrupc 2023'!$AA$65="Menor"),CONCATENATE("R10C",'Mapa Instituc Corrupc 2023'!$O$65),"")</f>
        <v/>
      </c>
      <c r="R45" s="68" t="str">
        <f>IF(AND('Mapa Instituc Corrupc 2023'!$Y$66="Baja",'Mapa Instituc Corrupc 2023'!$AA$66="Menor"),CONCATENATE("R10C",'Mapa Instituc Corrupc 2023'!$O$66),"")</f>
        <v/>
      </c>
      <c r="S45" s="68" t="str">
        <f>IF(AND('Mapa Instituc Corrupc 2023'!$Y$67="Baja",'Mapa Instituc Corrupc 2023'!$AA$67="Menor"),CONCATENATE("R10C",'Mapa Instituc Corrupc 2023'!$O$67),"")</f>
        <v/>
      </c>
      <c r="T45" s="68" t="str">
        <f>IF(AND('Mapa Instituc Corrupc 2023'!$Y$68="Baja",'Mapa Instituc Corrupc 2023'!$AA$68="Menor"),CONCATENATE("R10C",'Mapa Instituc Corrupc 2023'!$O$68),"")</f>
        <v/>
      </c>
      <c r="U45" s="69" t="str">
        <f>IF(AND('Mapa Instituc Corrupc 2023'!$Y$69="Baja",'Mapa Instituc Corrupc 2023'!$AA$69="Menor"),CONCATENATE("R10C",'Mapa Instituc Corrupc 2023'!$O$69),"")</f>
        <v/>
      </c>
      <c r="V45" s="70" t="str">
        <f>IF(AND('Mapa Instituc Corrupc 2023'!$Y$64="Baja",'Mapa Instituc Corrupc 2023'!$AA$64="Moderado"),CONCATENATE("R10C",'Mapa Instituc Corrupc 2023'!$O$64),"")</f>
        <v/>
      </c>
      <c r="W45" s="71" t="str">
        <f>IF(AND('Mapa Instituc Corrupc 2023'!$Y$65="Baja",'Mapa Instituc Corrupc 2023'!$AA$65="Moderado"),CONCATENATE("R10C",'Mapa Instituc Corrupc 2023'!$O$65),"")</f>
        <v/>
      </c>
      <c r="X45" s="71" t="str">
        <f>IF(AND('Mapa Instituc Corrupc 2023'!$Y$66="Baja",'Mapa Instituc Corrupc 2023'!$AA$66="Moderado"),CONCATENATE("R10C",'Mapa Instituc Corrupc 2023'!$O$66),"")</f>
        <v/>
      </c>
      <c r="Y45" s="71" t="str">
        <f>IF(AND('Mapa Instituc Corrupc 2023'!$Y$67="Baja",'Mapa Instituc Corrupc 2023'!$AA$67="Moderado"),CONCATENATE("R10C",'Mapa Instituc Corrupc 2023'!$O$67),"")</f>
        <v/>
      </c>
      <c r="Z45" s="71" t="str">
        <f>IF(AND('Mapa Instituc Corrupc 2023'!$Y$68="Baja",'Mapa Instituc Corrupc 2023'!$AA$68="Moderado"),CONCATENATE("R10C",'Mapa Instituc Corrupc 2023'!$O$68),"")</f>
        <v/>
      </c>
      <c r="AA45" s="72" t="str">
        <f>IF(AND('Mapa Instituc Corrupc 2023'!$Y$69="Baja",'Mapa Instituc Corrupc 2023'!$AA$69="Moderado"),CONCATENATE("R10C",'Mapa Instituc Corrupc 2023'!$O$69),"")</f>
        <v/>
      </c>
      <c r="AB45" s="58" t="str">
        <f>IF(AND('Mapa Instituc Corrupc 2023'!$Y$64="Baja",'Mapa Instituc Corrupc 2023'!$AA$64="Mayor"),CONCATENATE("R10C",'Mapa Instituc Corrupc 2023'!$O$64),"")</f>
        <v/>
      </c>
      <c r="AC45" s="59" t="str">
        <f>IF(AND('Mapa Instituc Corrupc 2023'!$Y$65="Baja",'Mapa Instituc Corrupc 2023'!$AA$65="Mayor"),CONCATENATE("R10C",'Mapa Instituc Corrupc 2023'!$O$65),"")</f>
        <v/>
      </c>
      <c r="AD45" s="59" t="str">
        <f>IF(AND('Mapa Instituc Corrupc 2023'!$Y$66="Baja",'Mapa Instituc Corrupc 2023'!$AA$66="Mayor"),CONCATENATE("R10C",'Mapa Instituc Corrupc 2023'!$O$66),"")</f>
        <v/>
      </c>
      <c r="AE45" s="59" t="str">
        <f>IF(AND('Mapa Instituc Corrupc 2023'!$Y$67="Baja",'Mapa Instituc Corrupc 2023'!$AA$67="Mayor"),CONCATENATE("R10C",'Mapa Instituc Corrupc 2023'!$O$67),"")</f>
        <v/>
      </c>
      <c r="AF45" s="59" t="str">
        <f>IF(AND('Mapa Instituc Corrupc 2023'!$Y$68="Baja",'Mapa Instituc Corrupc 2023'!$AA$68="Mayor"),CONCATENATE("R10C",'Mapa Instituc Corrupc 2023'!$O$68),"")</f>
        <v/>
      </c>
      <c r="AG45" s="60" t="str">
        <f>IF(AND('Mapa Instituc Corrupc 2023'!$Y$69="Baja",'Mapa Instituc Corrupc 2023'!$AA$69="Mayor"),CONCATENATE("R10C",'Mapa Instituc Corrupc 2023'!$O$69),"")</f>
        <v/>
      </c>
      <c r="AH45" s="61" t="str">
        <f>IF(AND('Mapa Instituc Corrupc 2023'!$Y$64="Baja",'Mapa Instituc Corrupc 2023'!$AA$64="Catastrófico"),CONCATENATE("R10C",'Mapa Instituc Corrupc 2023'!$O$64),"")</f>
        <v/>
      </c>
      <c r="AI45" s="62" t="str">
        <f>IF(AND('Mapa Instituc Corrupc 2023'!$Y$65="Baja",'Mapa Instituc Corrupc 2023'!$AA$65="Catastrófico"),CONCATENATE("R10C",'Mapa Instituc Corrupc 2023'!$O$65),"")</f>
        <v/>
      </c>
      <c r="AJ45" s="62" t="str">
        <f>IF(AND('Mapa Instituc Corrupc 2023'!$Y$66="Baja",'Mapa Instituc Corrupc 2023'!$AA$66="Catastrófico"),CONCATENATE("R10C",'Mapa Instituc Corrupc 2023'!$O$66),"")</f>
        <v/>
      </c>
      <c r="AK45" s="62" t="str">
        <f>IF(AND('Mapa Instituc Corrupc 2023'!$Y$67="Baja",'Mapa Instituc Corrupc 2023'!$AA$67="Catastrófico"),CONCATENATE("R10C",'Mapa Instituc Corrupc 2023'!$O$67),"")</f>
        <v/>
      </c>
      <c r="AL45" s="62" t="str">
        <f>IF(AND('Mapa Instituc Corrupc 2023'!$Y$68="Baja",'Mapa Instituc Corrupc 2023'!$AA$68="Catastrófico"),CONCATENATE("R10C",'Mapa Instituc Corrupc 2023'!$O$68),"")</f>
        <v/>
      </c>
      <c r="AM45" s="63" t="str">
        <f>IF(AND('Mapa Instituc Corrupc 2023'!$Y$69="Baja",'Mapa Instituc Corrupc 2023'!$AA$69="Catastrófico"),CONCATENATE("R10C",'Mapa Instituc Corrupc 2023'!$O$69),"")</f>
        <v/>
      </c>
      <c r="AN45" s="83"/>
      <c r="AO45" s="505"/>
      <c r="AP45" s="506"/>
      <c r="AQ45" s="506"/>
      <c r="AR45" s="506"/>
      <c r="AS45" s="506"/>
      <c r="AT45" s="507"/>
    </row>
    <row r="46" spans="1:80" ht="46.5" customHeight="1" x14ac:dyDescent="0.35">
      <c r="A46" s="83"/>
      <c r="B46" s="380"/>
      <c r="C46" s="380"/>
      <c r="D46" s="381"/>
      <c r="E46" s="477" t="s">
        <v>113</v>
      </c>
      <c r="F46" s="478"/>
      <c r="G46" s="478"/>
      <c r="H46" s="478"/>
      <c r="I46" s="496"/>
      <c r="J46" s="73" t="str">
        <f ca="1">IF(AND('Mapa Instituc Corrupc 2023'!$Y$10="Muy Baja",'Mapa Instituc Corrupc 2023'!$AA$10="Leve"),CONCATENATE("R1C",'Mapa Instituc Corrupc 2023'!$O$10),"")</f>
        <v/>
      </c>
      <c r="K46" s="74" t="str">
        <f>IF(AND('Mapa Instituc Corrupc 2023'!$Y$11="Muy Baja",'Mapa Instituc Corrupc 2023'!$AA$11="Leve"),CONCATENATE("R1C",'Mapa Instituc Corrupc 2023'!$O$11),"")</f>
        <v/>
      </c>
      <c r="L46" s="74" t="str">
        <f>IF(AND('Mapa Instituc Corrupc 2023'!$Y$12="Muy Baja",'Mapa Instituc Corrupc 2023'!$AA$12="Leve"),CONCATENATE("R1C",'Mapa Instituc Corrupc 2023'!$O$12),"")</f>
        <v/>
      </c>
      <c r="M46" s="74" t="str">
        <f>IF(AND('Mapa Instituc Corrupc 2023'!$Y$13="Muy Baja",'Mapa Instituc Corrupc 2023'!$AA$13="Leve"),CONCATENATE("R1C",'Mapa Instituc Corrupc 2023'!$O$13),"")</f>
        <v/>
      </c>
      <c r="N46" s="74" t="str">
        <f>IF(AND('Mapa Instituc Corrupc 2023'!$Y$14="Muy Baja",'Mapa Instituc Corrupc 2023'!$AA$14="Leve"),CONCATENATE("R1C",'Mapa Instituc Corrupc 2023'!$O$14),"")</f>
        <v/>
      </c>
      <c r="O46" s="75" t="str">
        <f>IF(AND('Mapa Instituc Corrupc 2023'!$Y$15="Muy Baja",'Mapa Instituc Corrupc 2023'!$AA$15="Leve"),CONCATENATE("R1C",'Mapa Instituc Corrupc 2023'!$O$15),"")</f>
        <v/>
      </c>
      <c r="P46" s="73" t="str">
        <f ca="1">IF(AND('Mapa Instituc Corrupc 2023'!$Y$10="Muy Baja",'Mapa Instituc Corrupc 2023'!$AA$10="Menor"),CONCATENATE("R1C",'Mapa Instituc Corrupc 2023'!$O$10),"")</f>
        <v/>
      </c>
      <c r="Q46" s="74" t="str">
        <f>IF(AND('Mapa Instituc Corrupc 2023'!$Y$11="Muy Baja",'Mapa Instituc Corrupc 2023'!$AA$11="Menor"),CONCATENATE("R1C",'Mapa Instituc Corrupc 2023'!$O$11),"")</f>
        <v/>
      </c>
      <c r="R46" s="74" t="str">
        <f>IF(AND('Mapa Instituc Corrupc 2023'!$Y$12="Muy Baja",'Mapa Instituc Corrupc 2023'!$AA$12="Menor"),CONCATENATE("R1C",'Mapa Instituc Corrupc 2023'!$O$12),"")</f>
        <v/>
      </c>
      <c r="S46" s="74" t="str">
        <f>IF(AND('Mapa Instituc Corrupc 2023'!$Y$13="Muy Baja",'Mapa Instituc Corrupc 2023'!$AA$13="Menor"),CONCATENATE("R1C",'Mapa Instituc Corrupc 2023'!$O$13),"")</f>
        <v/>
      </c>
      <c r="T46" s="74" t="str">
        <f>IF(AND('Mapa Instituc Corrupc 2023'!$Y$14="Muy Baja",'Mapa Instituc Corrupc 2023'!$AA$14="Menor"),CONCATENATE("R1C",'Mapa Instituc Corrupc 2023'!$O$14),"")</f>
        <v/>
      </c>
      <c r="U46" s="75" t="str">
        <f>IF(AND('Mapa Instituc Corrupc 2023'!$Y$15="Muy Baja",'Mapa Instituc Corrupc 2023'!$AA$15="Menor"),CONCATENATE("R1C",'Mapa Instituc Corrupc 2023'!$O$15),"")</f>
        <v/>
      </c>
      <c r="V46" s="64" t="str">
        <f ca="1">IF(AND('Mapa Instituc Corrupc 2023'!$Y$10="Muy Baja",'Mapa Instituc Corrupc 2023'!$AA$10="Moderado"),CONCATENATE("R1C",'Mapa Instituc Corrupc 2023'!$O$10),"")</f>
        <v/>
      </c>
      <c r="W46" s="82" t="str">
        <f>IF(AND('Mapa Instituc Corrupc 2023'!$Y$11="Muy Baja",'Mapa Instituc Corrupc 2023'!$AA$11="Moderado"),CONCATENATE("R1C",'Mapa Instituc Corrupc 2023'!$O$11),"")</f>
        <v/>
      </c>
      <c r="X46" s="65" t="str">
        <f>IF(AND('Mapa Instituc Corrupc 2023'!$Y$12="Muy Baja",'Mapa Instituc Corrupc 2023'!$AA$12="Moderado"),CONCATENATE("R1C",'Mapa Instituc Corrupc 2023'!$O$12),"")</f>
        <v/>
      </c>
      <c r="Y46" s="65" t="str">
        <f>IF(AND('Mapa Instituc Corrupc 2023'!$Y$13="Muy Baja",'Mapa Instituc Corrupc 2023'!$AA$13="Moderado"),CONCATENATE("R1C",'Mapa Instituc Corrupc 2023'!$O$13),"")</f>
        <v/>
      </c>
      <c r="Z46" s="65" t="str">
        <f>IF(AND('Mapa Instituc Corrupc 2023'!$Y$14="Muy Baja",'Mapa Instituc Corrupc 2023'!$AA$14="Moderado"),CONCATENATE("R1C",'Mapa Instituc Corrupc 2023'!$O$14),"")</f>
        <v/>
      </c>
      <c r="AA46" s="66" t="str">
        <f>IF(AND('Mapa Instituc Corrupc 2023'!$Y$15="Muy Baja",'Mapa Instituc Corrupc 2023'!$AA$15="Moderado"),CONCATENATE("R1C",'Mapa Instituc Corrupc 2023'!$O$15),"")</f>
        <v/>
      </c>
      <c r="AB46" s="45" t="str">
        <f ca="1">IF(AND('Mapa Instituc Corrupc 2023'!$Y$10="Muy Baja",'Mapa Instituc Corrupc 2023'!$AA$10="Mayor"),CONCATENATE("R1C",'Mapa Instituc Corrupc 2023'!$O$10),"")</f>
        <v/>
      </c>
      <c r="AC46" s="46" t="str">
        <f>IF(AND('Mapa Instituc Corrupc 2023'!$Y$11="Muy Baja",'Mapa Instituc Corrupc 2023'!$AA$11="Mayor"),CONCATENATE("R1C",'Mapa Instituc Corrupc 2023'!$O$11),"")</f>
        <v/>
      </c>
      <c r="AD46" s="46" t="str">
        <f>IF(AND('Mapa Instituc Corrupc 2023'!$Y$12="Muy Baja",'Mapa Instituc Corrupc 2023'!$AA$12="Mayor"),CONCATENATE("R1C",'Mapa Instituc Corrupc 2023'!$O$12),"")</f>
        <v/>
      </c>
      <c r="AE46" s="46" t="str">
        <f>IF(AND('Mapa Instituc Corrupc 2023'!$Y$13="Muy Baja",'Mapa Instituc Corrupc 2023'!$AA$13="Mayor"),CONCATENATE("R1C",'Mapa Instituc Corrupc 2023'!$O$13),"")</f>
        <v/>
      </c>
      <c r="AF46" s="46" t="str">
        <f>IF(AND('Mapa Instituc Corrupc 2023'!$Y$14="Muy Baja",'Mapa Instituc Corrupc 2023'!$AA$14="Mayor"),CONCATENATE("R1C",'Mapa Instituc Corrupc 2023'!$O$14),"")</f>
        <v/>
      </c>
      <c r="AG46" s="47" t="str">
        <f>IF(AND('Mapa Instituc Corrupc 2023'!$Y$15="Muy Baja",'Mapa Instituc Corrupc 2023'!$AA$15="Mayor"),CONCATENATE("R1C",'Mapa Instituc Corrupc 2023'!$O$15),"")</f>
        <v/>
      </c>
      <c r="AH46" s="48" t="str">
        <f ca="1">IF(AND('Mapa Instituc Corrupc 2023'!$Y$10="Muy Baja",'Mapa Instituc Corrupc 2023'!$AA$10="Catastrófico"),CONCATENATE("R1C",'Mapa Instituc Corrupc 2023'!$O$10),"")</f>
        <v/>
      </c>
      <c r="AI46" s="49" t="str">
        <f>IF(AND('Mapa Instituc Corrupc 2023'!$Y$11="Muy Baja",'Mapa Instituc Corrupc 2023'!$AA$11="Catastrófico"),CONCATENATE("R1C",'Mapa Instituc Corrupc 2023'!$O$11),"")</f>
        <v/>
      </c>
      <c r="AJ46" s="49" t="str">
        <f>IF(AND('Mapa Instituc Corrupc 2023'!$Y$12="Muy Baja",'Mapa Instituc Corrupc 2023'!$AA$12="Catastrófico"),CONCATENATE("R1C",'Mapa Instituc Corrupc 2023'!$O$12),"")</f>
        <v/>
      </c>
      <c r="AK46" s="49" t="str">
        <f>IF(AND('Mapa Instituc Corrupc 2023'!$Y$13="Muy Baja",'Mapa Instituc Corrupc 2023'!$AA$13="Catastrófico"),CONCATENATE("R1C",'Mapa Instituc Corrupc 2023'!$O$13),"")</f>
        <v/>
      </c>
      <c r="AL46" s="49" t="str">
        <f>IF(AND('Mapa Instituc Corrupc 2023'!$Y$14="Muy Baja",'Mapa Instituc Corrupc 2023'!$AA$14="Catastrófico"),CONCATENATE("R1C",'Mapa Instituc Corrupc 2023'!$O$14),"")</f>
        <v/>
      </c>
      <c r="AM46" s="50" t="str">
        <f>IF(AND('Mapa Instituc Corrupc 2023'!$Y$15="Muy Baja",'Mapa Instituc Corrupc 2023'!$AA$15="Catastrófico"),CONCATENATE("R1C",'Mapa Instituc Corrupc 2023'!$O$15),"")</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380"/>
      <c r="C47" s="380"/>
      <c r="D47" s="381"/>
      <c r="E47" s="479"/>
      <c r="F47" s="480"/>
      <c r="G47" s="480"/>
      <c r="H47" s="480"/>
      <c r="I47" s="497"/>
      <c r="J47" s="76" t="str">
        <f ca="1">IF(AND('Mapa Instituc Corrupc 2023'!$Y$16="Muy Baja",'Mapa Instituc Corrupc 2023'!$AA$16="Leve"),CONCATENATE("R2C",'Mapa Instituc Corrupc 2023'!$O$16),"")</f>
        <v/>
      </c>
      <c r="K47" s="77" t="str">
        <f>IF(AND('Mapa Instituc Corrupc 2023'!$Y$17="Muy Baja",'Mapa Instituc Corrupc 2023'!$AA$17="Leve"),CONCATENATE("R2C",'Mapa Instituc Corrupc 2023'!$O$17),"")</f>
        <v/>
      </c>
      <c r="L47" s="77" t="str">
        <f>IF(AND('Mapa Instituc Corrupc 2023'!$Y$18="Muy Baja",'Mapa Instituc Corrupc 2023'!$AA$18="Leve"),CONCATENATE("R2C",'Mapa Instituc Corrupc 2023'!$O$18),"")</f>
        <v/>
      </c>
      <c r="M47" s="77" t="str">
        <f>IF(AND('Mapa Instituc Corrupc 2023'!$Y$19="Muy Baja",'Mapa Instituc Corrupc 2023'!$AA$19="Leve"),CONCATENATE("R2C",'Mapa Instituc Corrupc 2023'!$O$19),"")</f>
        <v/>
      </c>
      <c r="N47" s="77" t="str">
        <f>IF(AND('Mapa Instituc Corrupc 2023'!$Y$20="Muy Baja",'Mapa Instituc Corrupc 2023'!$AA$20="Leve"),CONCATENATE("R2C",'Mapa Instituc Corrupc 2023'!$O$20),"")</f>
        <v/>
      </c>
      <c r="O47" s="78" t="str">
        <f>IF(AND('Mapa Instituc Corrupc 2023'!$Y$21="Muy Baja",'Mapa Instituc Corrupc 2023'!$AA$21="Leve"),CONCATENATE("R2C",'Mapa Instituc Corrupc 2023'!$O$21),"")</f>
        <v/>
      </c>
      <c r="P47" s="76" t="str">
        <f ca="1">IF(AND('Mapa Instituc Corrupc 2023'!$Y$16="Muy Baja",'Mapa Instituc Corrupc 2023'!$AA$16="Menor"),CONCATENATE("R2C",'Mapa Instituc Corrupc 2023'!$O$16),"")</f>
        <v/>
      </c>
      <c r="Q47" s="77" t="str">
        <f>IF(AND('Mapa Instituc Corrupc 2023'!$Y$17="Muy Baja",'Mapa Instituc Corrupc 2023'!$AA$17="Menor"),CONCATENATE("R2C",'Mapa Instituc Corrupc 2023'!$O$17),"")</f>
        <v/>
      </c>
      <c r="R47" s="77" t="str">
        <f>IF(AND('Mapa Instituc Corrupc 2023'!$Y$18="Muy Baja",'Mapa Instituc Corrupc 2023'!$AA$18="Menor"),CONCATENATE("R2C",'Mapa Instituc Corrupc 2023'!$O$18),"")</f>
        <v/>
      </c>
      <c r="S47" s="77" t="str">
        <f>IF(AND('Mapa Instituc Corrupc 2023'!$Y$19="Muy Baja",'Mapa Instituc Corrupc 2023'!$AA$19="Menor"),CONCATENATE("R2C",'Mapa Instituc Corrupc 2023'!$O$19),"")</f>
        <v/>
      </c>
      <c r="T47" s="77" t="str">
        <f>IF(AND('Mapa Instituc Corrupc 2023'!$Y$20="Muy Baja",'Mapa Instituc Corrupc 2023'!$AA$20="Menor"),CONCATENATE("R2C",'Mapa Instituc Corrupc 2023'!$O$20),"")</f>
        <v/>
      </c>
      <c r="U47" s="78" t="str">
        <f>IF(AND('Mapa Instituc Corrupc 2023'!$Y$21="Muy Baja",'Mapa Instituc Corrupc 2023'!$AA$21="Menor"),CONCATENATE("R2C",'Mapa Instituc Corrupc 2023'!$O$21),"")</f>
        <v/>
      </c>
      <c r="V47" s="67" t="str">
        <f ca="1">IF(AND('Mapa Instituc Corrupc 2023'!$Y$16="Muy Baja",'Mapa Instituc Corrupc 2023'!$AA$16="Moderado"),CONCATENATE("R2C",'Mapa Instituc Corrupc 2023'!$O$16),"")</f>
        <v/>
      </c>
      <c r="W47" s="68" t="str">
        <f>IF(AND('Mapa Instituc Corrupc 2023'!$Y$17="Muy Baja",'Mapa Instituc Corrupc 2023'!$AA$17="Moderado"),CONCATENATE("R2C",'Mapa Instituc Corrupc 2023'!$O$17),"")</f>
        <v/>
      </c>
      <c r="X47" s="68" t="str">
        <f>IF(AND('Mapa Instituc Corrupc 2023'!$Y$18="Muy Baja",'Mapa Instituc Corrupc 2023'!$AA$18="Moderado"),CONCATENATE("R2C",'Mapa Instituc Corrupc 2023'!$O$18),"")</f>
        <v/>
      </c>
      <c r="Y47" s="68" t="str">
        <f>IF(AND('Mapa Instituc Corrupc 2023'!$Y$19="Muy Baja",'Mapa Instituc Corrupc 2023'!$AA$19="Moderado"),CONCATENATE("R2C",'Mapa Instituc Corrupc 2023'!$O$19),"")</f>
        <v/>
      </c>
      <c r="Z47" s="68" t="str">
        <f>IF(AND('Mapa Instituc Corrupc 2023'!$Y$20="Muy Baja",'Mapa Instituc Corrupc 2023'!$AA$20="Moderado"),CONCATENATE("R2C",'Mapa Instituc Corrupc 2023'!$O$20),"")</f>
        <v/>
      </c>
      <c r="AA47" s="69" t="str">
        <f>IF(AND('Mapa Instituc Corrupc 2023'!$Y$21="Muy Baja",'Mapa Instituc Corrupc 2023'!$AA$21="Moderado"),CONCATENATE("R2C",'Mapa Instituc Corrupc 2023'!$O$21),"")</f>
        <v/>
      </c>
      <c r="AB47" s="51" t="str">
        <f ca="1">IF(AND('Mapa Instituc Corrupc 2023'!$Y$16="Muy Baja",'Mapa Instituc Corrupc 2023'!$AA$16="Mayor"),CONCATENATE("R2C",'Mapa Instituc Corrupc 2023'!$O$16),"")</f>
        <v/>
      </c>
      <c r="AC47" s="52" t="str">
        <f>IF(AND('Mapa Instituc Corrupc 2023'!$Y$17="Muy Baja",'Mapa Instituc Corrupc 2023'!$AA$17="Mayor"),CONCATENATE("R2C",'Mapa Instituc Corrupc 2023'!$O$17),"")</f>
        <v/>
      </c>
      <c r="AD47" s="52" t="str">
        <f>IF(AND('Mapa Instituc Corrupc 2023'!$Y$18="Muy Baja",'Mapa Instituc Corrupc 2023'!$AA$18="Mayor"),CONCATENATE("R2C",'Mapa Instituc Corrupc 2023'!$O$18),"")</f>
        <v/>
      </c>
      <c r="AE47" s="52" t="str">
        <f>IF(AND('Mapa Instituc Corrupc 2023'!$Y$19="Muy Baja",'Mapa Instituc Corrupc 2023'!$AA$19="Mayor"),CONCATENATE("R2C",'Mapa Instituc Corrupc 2023'!$O$19),"")</f>
        <v/>
      </c>
      <c r="AF47" s="52" t="str">
        <f>IF(AND('Mapa Instituc Corrupc 2023'!$Y$20="Muy Baja",'Mapa Instituc Corrupc 2023'!$AA$20="Mayor"),CONCATENATE("R2C",'Mapa Instituc Corrupc 2023'!$O$20),"")</f>
        <v/>
      </c>
      <c r="AG47" s="53" t="str">
        <f>IF(AND('Mapa Instituc Corrupc 2023'!$Y$21="Muy Baja",'Mapa Instituc Corrupc 2023'!$AA$21="Mayor"),CONCATENATE("R2C",'Mapa Instituc Corrupc 2023'!$O$21),"")</f>
        <v/>
      </c>
      <c r="AH47" s="54" t="str">
        <f ca="1">IF(AND('Mapa Instituc Corrupc 2023'!$Y$16="Muy Baja",'Mapa Instituc Corrupc 2023'!$AA$16="Catastrófico"),CONCATENATE("R2C",'Mapa Instituc Corrupc 2023'!$O$16),"")</f>
        <v/>
      </c>
      <c r="AI47" s="55" t="str">
        <f>IF(AND('Mapa Instituc Corrupc 2023'!$Y$17="Muy Baja",'Mapa Instituc Corrupc 2023'!$AA$17="Catastrófico"),CONCATENATE("R2C",'Mapa Instituc Corrupc 2023'!$O$17),"")</f>
        <v/>
      </c>
      <c r="AJ47" s="55" t="str">
        <f>IF(AND('Mapa Instituc Corrupc 2023'!$Y$18="Muy Baja",'Mapa Instituc Corrupc 2023'!$AA$18="Catastrófico"),CONCATENATE("R2C",'Mapa Instituc Corrupc 2023'!$O$18),"")</f>
        <v/>
      </c>
      <c r="AK47" s="55" t="str">
        <f>IF(AND('Mapa Instituc Corrupc 2023'!$Y$19="Muy Baja",'Mapa Instituc Corrupc 2023'!$AA$19="Catastrófico"),CONCATENATE("R2C",'Mapa Instituc Corrupc 2023'!$O$19),"")</f>
        <v/>
      </c>
      <c r="AL47" s="55" t="str">
        <f>IF(AND('Mapa Instituc Corrupc 2023'!$Y$20="Muy Baja",'Mapa Instituc Corrupc 2023'!$AA$20="Catastrófico"),CONCATENATE("R2C",'Mapa Instituc Corrupc 2023'!$O$20),"")</f>
        <v/>
      </c>
      <c r="AM47" s="56" t="str">
        <f>IF(AND('Mapa Instituc Corrupc 2023'!$Y$21="Muy Baja",'Mapa Instituc Corrupc 2023'!$AA$21="Catastrófico"),CONCATENATE("R2C",'Mapa Instituc Corrupc 2023'!$O$21),"")</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380"/>
      <c r="C48" s="380"/>
      <c r="D48" s="381"/>
      <c r="E48" s="479"/>
      <c r="F48" s="480"/>
      <c r="G48" s="480"/>
      <c r="H48" s="480"/>
      <c r="I48" s="497"/>
      <c r="J48" s="76" t="str">
        <f>IF(AND('Mapa Instituc Corrupc 2023'!$Y$22="Muy Baja",'Mapa Instituc Corrupc 2023'!$AA$22="Leve"),CONCATENATE("R3C",'Mapa Instituc Corrupc 2023'!$O$22),"")</f>
        <v/>
      </c>
      <c r="K48" s="77" t="str">
        <f>IF(AND('Mapa Instituc Corrupc 2023'!$Y$23="Muy Baja",'Mapa Instituc Corrupc 2023'!$AA$23="Leve"),CONCATENATE("R3C",'Mapa Instituc Corrupc 2023'!$O$23),"")</f>
        <v/>
      </c>
      <c r="L48" s="77" t="str">
        <f>IF(AND('Mapa Instituc Corrupc 2023'!$Y$24="Muy Baja",'Mapa Instituc Corrupc 2023'!$AA$24="Leve"),CONCATENATE("R3C",'Mapa Instituc Corrupc 2023'!$O$24),"")</f>
        <v/>
      </c>
      <c r="M48" s="77" t="str">
        <f>IF(AND('Mapa Instituc Corrupc 2023'!$Y$25="Muy Baja",'Mapa Instituc Corrupc 2023'!$AA$25="Leve"),CONCATENATE("R3C",'Mapa Instituc Corrupc 2023'!$O$25),"")</f>
        <v/>
      </c>
      <c r="N48" s="77" t="str">
        <f>IF(AND('Mapa Instituc Corrupc 2023'!$Y$26="Muy Baja",'Mapa Instituc Corrupc 2023'!$AA$26="Leve"),CONCATENATE("R3C",'Mapa Instituc Corrupc 2023'!$O$26),"")</f>
        <v/>
      </c>
      <c r="O48" s="78" t="str">
        <f>IF(AND('Mapa Instituc Corrupc 2023'!$Y$27="Muy Baja",'Mapa Instituc Corrupc 2023'!$AA$27="Leve"),CONCATENATE("R3C",'Mapa Instituc Corrupc 2023'!$O$27),"")</f>
        <v/>
      </c>
      <c r="P48" s="76" t="str">
        <f>IF(AND('Mapa Instituc Corrupc 2023'!$Y$22="Muy Baja",'Mapa Instituc Corrupc 2023'!$AA$22="Menor"),CONCATENATE("R3C",'Mapa Instituc Corrupc 2023'!$O$22),"")</f>
        <v/>
      </c>
      <c r="Q48" s="77" t="str">
        <f>IF(AND('Mapa Instituc Corrupc 2023'!$Y$23="Muy Baja",'Mapa Instituc Corrupc 2023'!$AA$23="Menor"),CONCATENATE("R3C",'Mapa Instituc Corrupc 2023'!$O$23),"")</f>
        <v/>
      </c>
      <c r="R48" s="77" t="str">
        <f>IF(AND('Mapa Instituc Corrupc 2023'!$Y$24="Muy Baja",'Mapa Instituc Corrupc 2023'!$AA$24="Menor"),CONCATENATE("R3C",'Mapa Instituc Corrupc 2023'!$O$24),"")</f>
        <v/>
      </c>
      <c r="S48" s="77" t="str">
        <f>IF(AND('Mapa Instituc Corrupc 2023'!$Y$25="Muy Baja",'Mapa Instituc Corrupc 2023'!$AA$25="Menor"),CONCATENATE("R3C",'Mapa Instituc Corrupc 2023'!$O$25),"")</f>
        <v/>
      </c>
      <c r="T48" s="77" t="str">
        <f>IF(AND('Mapa Instituc Corrupc 2023'!$Y$26="Muy Baja",'Mapa Instituc Corrupc 2023'!$AA$26="Menor"),CONCATENATE("R3C",'Mapa Instituc Corrupc 2023'!$O$26),"")</f>
        <v/>
      </c>
      <c r="U48" s="78" t="str">
        <f>IF(AND('Mapa Instituc Corrupc 2023'!$Y$27="Muy Baja",'Mapa Instituc Corrupc 2023'!$AA$27="Menor"),CONCATENATE("R3C",'Mapa Instituc Corrupc 2023'!$O$27),"")</f>
        <v/>
      </c>
      <c r="V48" s="67" t="str">
        <f>IF(AND('Mapa Instituc Corrupc 2023'!$Y$22="Muy Baja",'Mapa Instituc Corrupc 2023'!$AA$22="Moderado"),CONCATENATE("R3C",'Mapa Instituc Corrupc 2023'!$O$22),"")</f>
        <v/>
      </c>
      <c r="W48" s="68" t="str">
        <f>IF(AND('Mapa Instituc Corrupc 2023'!$Y$23="Muy Baja",'Mapa Instituc Corrupc 2023'!$AA$23="Moderado"),CONCATENATE("R3C",'Mapa Instituc Corrupc 2023'!$O$23),"")</f>
        <v/>
      </c>
      <c r="X48" s="68" t="str">
        <f>IF(AND('Mapa Instituc Corrupc 2023'!$Y$24="Muy Baja",'Mapa Instituc Corrupc 2023'!$AA$24="Moderado"),CONCATENATE("R3C",'Mapa Instituc Corrupc 2023'!$O$24),"")</f>
        <v/>
      </c>
      <c r="Y48" s="68" t="str">
        <f>IF(AND('Mapa Instituc Corrupc 2023'!$Y$25="Muy Baja",'Mapa Instituc Corrupc 2023'!$AA$25="Moderado"),CONCATENATE("R3C",'Mapa Instituc Corrupc 2023'!$O$25),"")</f>
        <v/>
      </c>
      <c r="Z48" s="68" t="str">
        <f>IF(AND('Mapa Instituc Corrupc 2023'!$Y$26="Muy Baja",'Mapa Instituc Corrupc 2023'!$AA$26="Moderado"),CONCATENATE("R3C",'Mapa Instituc Corrupc 2023'!$O$26),"")</f>
        <v/>
      </c>
      <c r="AA48" s="69" t="str">
        <f>IF(AND('Mapa Instituc Corrupc 2023'!$Y$27="Muy Baja",'Mapa Instituc Corrupc 2023'!$AA$27="Moderado"),CONCATENATE("R3C",'Mapa Instituc Corrupc 2023'!$O$27),"")</f>
        <v/>
      </c>
      <c r="AB48" s="51" t="str">
        <f>IF(AND('Mapa Instituc Corrupc 2023'!$Y$22="Muy Baja",'Mapa Instituc Corrupc 2023'!$AA$22="Mayor"),CONCATENATE("R3C",'Mapa Instituc Corrupc 2023'!$O$22),"")</f>
        <v/>
      </c>
      <c r="AC48" s="52" t="str">
        <f>IF(AND('Mapa Instituc Corrupc 2023'!$Y$23="Muy Baja",'Mapa Instituc Corrupc 2023'!$AA$23="Mayor"),CONCATENATE("R3C",'Mapa Instituc Corrupc 2023'!$O$23),"")</f>
        <v/>
      </c>
      <c r="AD48" s="52" t="str">
        <f>IF(AND('Mapa Instituc Corrupc 2023'!$Y$24="Muy Baja",'Mapa Instituc Corrupc 2023'!$AA$24="Mayor"),CONCATENATE("R3C",'Mapa Instituc Corrupc 2023'!$O$24),"")</f>
        <v/>
      </c>
      <c r="AE48" s="52" t="str">
        <f>IF(AND('Mapa Instituc Corrupc 2023'!$Y$25="Muy Baja",'Mapa Instituc Corrupc 2023'!$AA$25="Mayor"),CONCATENATE("R3C",'Mapa Instituc Corrupc 2023'!$O$25),"")</f>
        <v/>
      </c>
      <c r="AF48" s="52" t="str">
        <f>IF(AND('Mapa Instituc Corrupc 2023'!$Y$26="Muy Baja",'Mapa Instituc Corrupc 2023'!$AA$26="Mayor"),CONCATENATE("R3C",'Mapa Instituc Corrupc 2023'!$O$26),"")</f>
        <v/>
      </c>
      <c r="AG48" s="53" t="str">
        <f>IF(AND('Mapa Instituc Corrupc 2023'!$Y$27="Muy Baja",'Mapa Instituc Corrupc 2023'!$AA$27="Mayor"),CONCATENATE("R3C",'Mapa Instituc Corrupc 2023'!$O$27),"")</f>
        <v/>
      </c>
      <c r="AH48" s="54" t="str">
        <f>IF(AND('Mapa Instituc Corrupc 2023'!$Y$22="Muy Baja",'Mapa Instituc Corrupc 2023'!$AA$22="Catastrófico"),CONCATENATE("R3C",'Mapa Instituc Corrupc 2023'!$O$22),"")</f>
        <v/>
      </c>
      <c r="AI48" s="55" t="str">
        <f>IF(AND('Mapa Instituc Corrupc 2023'!$Y$23="Muy Baja",'Mapa Instituc Corrupc 2023'!$AA$23="Catastrófico"),CONCATENATE("R3C",'Mapa Instituc Corrupc 2023'!$O$23),"")</f>
        <v/>
      </c>
      <c r="AJ48" s="55" t="str">
        <f>IF(AND('Mapa Instituc Corrupc 2023'!$Y$24="Muy Baja",'Mapa Instituc Corrupc 2023'!$AA$24="Catastrófico"),CONCATENATE("R3C",'Mapa Instituc Corrupc 2023'!$O$24),"")</f>
        <v/>
      </c>
      <c r="AK48" s="55" t="str">
        <f>IF(AND('Mapa Instituc Corrupc 2023'!$Y$25="Muy Baja",'Mapa Instituc Corrupc 2023'!$AA$25="Catastrófico"),CONCATENATE("R3C",'Mapa Instituc Corrupc 2023'!$O$25),"")</f>
        <v/>
      </c>
      <c r="AL48" s="55" t="str">
        <f>IF(AND('Mapa Instituc Corrupc 2023'!$Y$26="Muy Baja",'Mapa Instituc Corrupc 2023'!$AA$26="Catastrófico"),CONCATENATE("R3C",'Mapa Instituc Corrupc 2023'!$O$26),"")</f>
        <v/>
      </c>
      <c r="AM48" s="56" t="str">
        <f>IF(AND('Mapa Instituc Corrupc 2023'!$Y$27="Muy Baja",'Mapa Instituc Corrupc 2023'!$AA$27="Catastrófico"),CONCATENATE("R3C",'Mapa Instituc Corrupc 2023'!$O$27),"")</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380"/>
      <c r="C49" s="380"/>
      <c r="D49" s="381"/>
      <c r="E49" s="481"/>
      <c r="F49" s="482"/>
      <c r="G49" s="482"/>
      <c r="H49" s="482"/>
      <c r="I49" s="497"/>
      <c r="J49" s="76" t="str">
        <f>IF(AND('Mapa Instituc Corrupc 2023'!$Y$28="Muy Baja",'Mapa Instituc Corrupc 2023'!$AA$28="Leve"),CONCATENATE("R4C",'Mapa Instituc Corrupc 2023'!$O$28),"")</f>
        <v/>
      </c>
      <c r="K49" s="77" t="str">
        <f>IF(AND('Mapa Instituc Corrupc 2023'!$Y$29="Muy Baja",'Mapa Instituc Corrupc 2023'!$AA$29="Leve"),CONCATENATE("R4C",'Mapa Instituc Corrupc 2023'!$O$29),"")</f>
        <v/>
      </c>
      <c r="L49" s="77" t="str">
        <f>IF(AND('Mapa Instituc Corrupc 2023'!$Y$30="Muy Baja",'Mapa Instituc Corrupc 2023'!$AA$30="Leve"),CONCATENATE("R4C",'Mapa Instituc Corrupc 2023'!$O$30),"")</f>
        <v/>
      </c>
      <c r="M49" s="77" t="str">
        <f>IF(AND('Mapa Instituc Corrupc 2023'!$Y$31="Muy Baja",'Mapa Instituc Corrupc 2023'!$AA$31="Leve"),CONCATENATE("R4C",'Mapa Instituc Corrupc 2023'!$O$31),"")</f>
        <v/>
      </c>
      <c r="N49" s="77" t="str">
        <f>IF(AND('Mapa Instituc Corrupc 2023'!$Y$32="Muy Baja",'Mapa Instituc Corrupc 2023'!$AA$32="Leve"),CONCATENATE("R4C",'Mapa Instituc Corrupc 2023'!$O$32),"")</f>
        <v/>
      </c>
      <c r="O49" s="78" t="str">
        <f>IF(AND('Mapa Instituc Corrupc 2023'!$Y$33="Muy Baja",'Mapa Instituc Corrupc 2023'!$AA$33="Leve"),CONCATENATE("R4C",'Mapa Instituc Corrupc 2023'!$O$33),"")</f>
        <v/>
      </c>
      <c r="P49" s="76" t="str">
        <f>IF(AND('Mapa Instituc Corrupc 2023'!$Y$28="Muy Baja",'Mapa Instituc Corrupc 2023'!$AA$28="Menor"),CONCATENATE("R4C",'Mapa Instituc Corrupc 2023'!$O$28),"")</f>
        <v/>
      </c>
      <c r="Q49" s="77" t="str">
        <f>IF(AND('Mapa Instituc Corrupc 2023'!$Y$29="Muy Baja",'Mapa Instituc Corrupc 2023'!$AA$29="Menor"),CONCATENATE("R4C",'Mapa Instituc Corrupc 2023'!$O$29),"")</f>
        <v/>
      </c>
      <c r="R49" s="77" t="str">
        <f>IF(AND('Mapa Instituc Corrupc 2023'!$Y$30="Muy Baja",'Mapa Instituc Corrupc 2023'!$AA$30="Menor"),CONCATENATE("R4C",'Mapa Instituc Corrupc 2023'!$O$30),"")</f>
        <v/>
      </c>
      <c r="S49" s="77" t="str">
        <f>IF(AND('Mapa Instituc Corrupc 2023'!$Y$31="Muy Baja",'Mapa Instituc Corrupc 2023'!$AA$31="Menor"),CONCATENATE("R4C",'Mapa Instituc Corrupc 2023'!$O$31),"")</f>
        <v/>
      </c>
      <c r="T49" s="77" t="str">
        <f>IF(AND('Mapa Instituc Corrupc 2023'!$Y$32="Muy Baja",'Mapa Instituc Corrupc 2023'!$AA$32="Menor"),CONCATENATE("R4C",'Mapa Instituc Corrupc 2023'!$O$32),"")</f>
        <v/>
      </c>
      <c r="U49" s="78" t="str">
        <f>IF(AND('Mapa Instituc Corrupc 2023'!$Y$33="Muy Baja",'Mapa Instituc Corrupc 2023'!$AA$33="Menor"),CONCATENATE("R4C",'Mapa Instituc Corrupc 2023'!$O$33),"")</f>
        <v/>
      </c>
      <c r="V49" s="67" t="str">
        <f>IF(AND('Mapa Instituc Corrupc 2023'!$Y$28="Muy Baja",'Mapa Instituc Corrupc 2023'!$AA$28="Moderado"),CONCATENATE("R4C",'Mapa Instituc Corrupc 2023'!$O$28),"")</f>
        <v/>
      </c>
      <c r="W49" s="68" t="str">
        <f>IF(AND('Mapa Instituc Corrupc 2023'!$Y$29="Muy Baja",'Mapa Instituc Corrupc 2023'!$AA$29="Moderado"),CONCATENATE("R4C",'Mapa Instituc Corrupc 2023'!$O$29),"")</f>
        <v/>
      </c>
      <c r="X49" s="68" t="str">
        <f>IF(AND('Mapa Instituc Corrupc 2023'!$Y$30="Muy Baja",'Mapa Instituc Corrupc 2023'!$AA$30="Moderado"),CONCATENATE("R4C",'Mapa Instituc Corrupc 2023'!$O$30),"")</f>
        <v/>
      </c>
      <c r="Y49" s="68" t="str">
        <f>IF(AND('Mapa Instituc Corrupc 2023'!$Y$31="Muy Baja",'Mapa Instituc Corrupc 2023'!$AA$31="Moderado"),CONCATENATE("R4C",'Mapa Instituc Corrupc 2023'!$O$31),"")</f>
        <v/>
      </c>
      <c r="Z49" s="68" t="str">
        <f>IF(AND('Mapa Instituc Corrupc 2023'!$Y$32="Muy Baja",'Mapa Instituc Corrupc 2023'!$AA$32="Moderado"),CONCATENATE("R4C",'Mapa Instituc Corrupc 2023'!$O$32),"")</f>
        <v/>
      </c>
      <c r="AA49" s="69" t="str">
        <f>IF(AND('Mapa Instituc Corrupc 2023'!$Y$33="Muy Baja",'Mapa Instituc Corrupc 2023'!$AA$33="Moderado"),CONCATENATE("R4C",'Mapa Instituc Corrupc 2023'!$O$33),"")</f>
        <v/>
      </c>
      <c r="AB49" s="51" t="str">
        <f>IF(AND('Mapa Instituc Corrupc 2023'!$Y$28="Muy Baja",'Mapa Instituc Corrupc 2023'!$AA$28="Mayor"),CONCATENATE("R4C",'Mapa Instituc Corrupc 2023'!$O$28),"")</f>
        <v/>
      </c>
      <c r="AC49" s="52" t="str">
        <f>IF(AND('Mapa Instituc Corrupc 2023'!$Y$29="Muy Baja",'Mapa Instituc Corrupc 2023'!$AA$29="Mayor"),CONCATENATE("R4C",'Mapa Instituc Corrupc 2023'!$O$29),"")</f>
        <v/>
      </c>
      <c r="AD49" s="52" t="str">
        <f>IF(AND('Mapa Instituc Corrupc 2023'!$Y$30="Muy Baja",'Mapa Instituc Corrupc 2023'!$AA$30="Mayor"),CONCATENATE("R4C",'Mapa Instituc Corrupc 2023'!$O$30),"")</f>
        <v/>
      </c>
      <c r="AE49" s="52" t="str">
        <f>IF(AND('Mapa Instituc Corrupc 2023'!$Y$31="Muy Baja",'Mapa Instituc Corrupc 2023'!$AA$31="Mayor"),CONCATENATE("R4C",'Mapa Instituc Corrupc 2023'!$O$31),"")</f>
        <v/>
      </c>
      <c r="AF49" s="52" t="str">
        <f>IF(AND('Mapa Instituc Corrupc 2023'!$Y$32="Muy Baja",'Mapa Instituc Corrupc 2023'!$AA$32="Mayor"),CONCATENATE("R4C",'Mapa Instituc Corrupc 2023'!$O$32),"")</f>
        <v/>
      </c>
      <c r="AG49" s="53" t="str">
        <f>IF(AND('Mapa Instituc Corrupc 2023'!$Y$33="Muy Baja",'Mapa Instituc Corrupc 2023'!$AA$33="Mayor"),CONCATENATE("R4C",'Mapa Instituc Corrupc 2023'!$O$33),"")</f>
        <v/>
      </c>
      <c r="AH49" s="54" t="str">
        <f>IF(AND('Mapa Instituc Corrupc 2023'!$Y$28="Muy Baja",'Mapa Instituc Corrupc 2023'!$AA$28="Catastrófico"),CONCATENATE("R4C",'Mapa Instituc Corrupc 2023'!$O$28),"")</f>
        <v/>
      </c>
      <c r="AI49" s="55" t="str">
        <f>IF(AND('Mapa Instituc Corrupc 2023'!$Y$29="Muy Baja",'Mapa Instituc Corrupc 2023'!$AA$29="Catastrófico"),CONCATENATE("R4C",'Mapa Instituc Corrupc 2023'!$O$29),"")</f>
        <v/>
      </c>
      <c r="AJ49" s="55" t="str">
        <f>IF(AND('Mapa Instituc Corrupc 2023'!$Y$30="Muy Baja",'Mapa Instituc Corrupc 2023'!$AA$30="Catastrófico"),CONCATENATE("R4C",'Mapa Instituc Corrupc 2023'!$O$30),"")</f>
        <v/>
      </c>
      <c r="AK49" s="55" t="str">
        <f>IF(AND('Mapa Instituc Corrupc 2023'!$Y$31="Muy Baja",'Mapa Instituc Corrupc 2023'!$AA$31="Catastrófico"),CONCATENATE("R4C",'Mapa Instituc Corrupc 2023'!$O$31),"")</f>
        <v/>
      </c>
      <c r="AL49" s="55" t="str">
        <f>IF(AND('Mapa Instituc Corrupc 2023'!$Y$32="Muy Baja",'Mapa Instituc Corrupc 2023'!$AA$32="Catastrófico"),CONCATENATE("R4C",'Mapa Instituc Corrupc 2023'!$O$32),"")</f>
        <v/>
      </c>
      <c r="AM49" s="56" t="str">
        <f>IF(AND('Mapa Instituc Corrupc 2023'!$Y$33="Muy Baja",'Mapa Instituc Corrupc 2023'!$AA$33="Catastrófico"),CONCATENATE("R4C",'Mapa Instituc Corrupc 2023'!$O$33),"")</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380"/>
      <c r="C50" s="380"/>
      <c r="D50" s="381"/>
      <c r="E50" s="481"/>
      <c r="F50" s="482"/>
      <c r="G50" s="482"/>
      <c r="H50" s="482"/>
      <c r="I50" s="497"/>
      <c r="J50" s="76" t="str">
        <f>IF(AND('Mapa Instituc Corrupc 2023'!$Y$34="Muy Baja",'Mapa Instituc Corrupc 2023'!$AA$34="Leve"),CONCATENATE("R5C",'Mapa Instituc Corrupc 2023'!$O$34),"")</f>
        <v/>
      </c>
      <c r="K50" s="77" t="str">
        <f>IF(AND('Mapa Instituc Corrupc 2023'!$Y$35="Muy Baja",'Mapa Instituc Corrupc 2023'!$AA$35="Leve"),CONCATENATE("R5C",'Mapa Instituc Corrupc 2023'!$O$35),"")</f>
        <v/>
      </c>
      <c r="L50" s="77" t="str">
        <f>IF(AND('Mapa Instituc Corrupc 2023'!$Y$36="Muy Baja",'Mapa Instituc Corrupc 2023'!$AA$36="Leve"),CONCATENATE("R5C",'Mapa Instituc Corrupc 2023'!$O$36),"")</f>
        <v/>
      </c>
      <c r="M50" s="77" t="str">
        <f>IF(AND('Mapa Instituc Corrupc 2023'!$Y$37="Muy Baja",'Mapa Instituc Corrupc 2023'!$AA$37="Leve"),CONCATENATE("R5C",'Mapa Instituc Corrupc 2023'!$O$37),"")</f>
        <v/>
      </c>
      <c r="N50" s="77" t="str">
        <f>IF(AND('Mapa Instituc Corrupc 2023'!$Y$38="Muy Baja",'Mapa Instituc Corrupc 2023'!$AA$38="Leve"),CONCATENATE("R5C",'Mapa Instituc Corrupc 2023'!$O$38),"")</f>
        <v/>
      </c>
      <c r="O50" s="78" t="str">
        <f>IF(AND('Mapa Instituc Corrupc 2023'!$Y$39="Muy Baja",'Mapa Instituc Corrupc 2023'!$AA$39="Leve"),CONCATENATE("R5C",'Mapa Instituc Corrupc 2023'!$O$39),"")</f>
        <v/>
      </c>
      <c r="P50" s="76" t="str">
        <f>IF(AND('Mapa Instituc Corrupc 2023'!$Y$34="Muy Baja",'Mapa Instituc Corrupc 2023'!$AA$34="Menor"),CONCATENATE("R5C",'Mapa Instituc Corrupc 2023'!$O$34),"")</f>
        <v/>
      </c>
      <c r="Q50" s="77" t="str">
        <f>IF(AND('Mapa Instituc Corrupc 2023'!$Y$35="Muy Baja",'Mapa Instituc Corrupc 2023'!$AA$35="Menor"),CONCATENATE("R5C",'Mapa Instituc Corrupc 2023'!$O$35),"")</f>
        <v/>
      </c>
      <c r="R50" s="77" t="str">
        <f>IF(AND('Mapa Instituc Corrupc 2023'!$Y$36="Muy Baja",'Mapa Instituc Corrupc 2023'!$AA$36="Menor"),CONCATENATE("R5C",'Mapa Instituc Corrupc 2023'!$O$36),"")</f>
        <v/>
      </c>
      <c r="S50" s="77" t="str">
        <f>IF(AND('Mapa Instituc Corrupc 2023'!$Y$37="Muy Baja",'Mapa Instituc Corrupc 2023'!$AA$37="Menor"),CONCATENATE("R5C",'Mapa Instituc Corrupc 2023'!$O$37),"")</f>
        <v/>
      </c>
      <c r="T50" s="77" t="str">
        <f>IF(AND('Mapa Instituc Corrupc 2023'!$Y$38="Muy Baja",'Mapa Instituc Corrupc 2023'!$AA$38="Menor"),CONCATENATE("R5C",'Mapa Instituc Corrupc 2023'!$O$38),"")</f>
        <v/>
      </c>
      <c r="U50" s="78" t="str">
        <f>IF(AND('Mapa Instituc Corrupc 2023'!$Y$39="Muy Baja",'Mapa Instituc Corrupc 2023'!$AA$39="Menor"),CONCATENATE("R5C",'Mapa Instituc Corrupc 2023'!$O$39),"")</f>
        <v/>
      </c>
      <c r="V50" s="67" t="str">
        <f>IF(AND('Mapa Instituc Corrupc 2023'!$Y$34="Muy Baja",'Mapa Instituc Corrupc 2023'!$AA$34="Moderado"),CONCATENATE("R5C",'Mapa Instituc Corrupc 2023'!$O$34),"")</f>
        <v/>
      </c>
      <c r="W50" s="68" t="str">
        <f>IF(AND('Mapa Instituc Corrupc 2023'!$Y$35="Muy Baja",'Mapa Instituc Corrupc 2023'!$AA$35="Moderado"),CONCATENATE("R5C",'Mapa Instituc Corrupc 2023'!$O$35),"")</f>
        <v/>
      </c>
      <c r="X50" s="68" t="str">
        <f>IF(AND('Mapa Instituc Corrupc 2023'!$Y$36="Muy Baja",'Mapa Instituc Corrupc 2023'!$AA$36="Moderado"),CONCATENATE("R5C",'Mapa Instituc Corrupc 2023'!$O$36),"")</f>
        <v/>
      </c>
      <c r="Y50" s="68" t="str">
        <f>IF(AND('Mapa Instituc Corrupc 2023'!$Y$37="Muy Baja",'Mapa Instituc Corrupc 2023'!$AA$37="Moderado"),CONCATENATE("R5C",'Mapa Instituc Corrupc 2023'!$O$37),"")</f>
        <v/>
      </c>
      <c r="Z50" s="68" t="str">
        <f>IF(AND('Mapa Instituc Corrupc 2023'!$Y$38="Muy Baja",'Mapa Instituc Corrupc 2023'!$AA$38="Moderado"),CONCATENATE("R5C",'Mapa Instituc Corrupc 2023'!$O$38),"")</f>
        <v/>
      </c>
      <c r="AA50" s="69" t="str">
        <f>IF(AND('Mapa Instituc Corrupc 2023'!$Y$39="Muy Baja",'Mapa Instituc Corrupc 2023'!$AA$39="Moderado"),CONCATENATE("R5C",'Mapa Instituc Corrupc 2023'!$O$39),"")</f>
        <v/>
      </c>
      <c r="AB50" s="51" t="str">
        <f>IF(AND('Mapa Instituc Corrupc 2023'!$Y$34="Muy Baja",'Mapa Instituc Corrupc 2023'!$AA$34="Mayor"),CONCATENATE("R5C",'Mapa Instituc Corrupc 2023'!$O$34),"")</f>
        <v/>
      </c>
      <c r="AC50" s="52" t="str">
        <f>IF(AND('Mapa Instituc Corrupc 2023'!$Y$35="Muy Baja",'Mapa Instituc Corrupc 2023'!$AA$35="Mayor"),CONCATENATE("R5C",'Mapa Instituc Corrupc 2023'!$O$35),"")</f>
        <v/>
      </c>
      <c r="AD50" s="57" t="str">
        <f>IF(AND('Mapa Instituc Corrupc 2023'!$Y$36="Muy Baja",'Mapa Instituc Corrupc 2023'!$AA$36="Mayor"),CONCATENATE("R5C",'Mapa Instituc Corrupc 2023'!$O$36),"")</f>
        <v/>
      </c>
      <c r="AE50" s="57" t="str">
        <f>IF(AND('Mapa Instituc Corrupc 2023'!$Y$37="Muy Baja",'Mapa Instituc Corrupc 2023'!$AA$37="Mayor"),CONCATENATE("R5C",'Mapa Instituc Corrupc 2023'!$O$37),"")</f>
        <v/>
      </c>
      <c r="AF50" s="57" t="str">
        <f>IF(AND('Mapa Instituc Corrupc 2023'!$Y$38="Muy Baja",'Mapa Instituc Corrupc 2023'!$AA$38="Mayor"),CONCATENATE("R5C",'Mapa Instituc Corrupc 2023'!$O$38),"")</f>
        <v/>
      </c>
      <c r="AG50" s="53" t="str">
        <f>IF(AND('Mapa Instituc Corrupc 2023'!$Y$39="Muy Baja",'Mapa Instituc Corrupc 2023'!$AA$39="Mayor"),CONCATENATE("R5C",'Mapa Instituc Corrupc 2023'!$O$39),"")</f>
        <v/>
      </c>
      <c r="AH50" s="54" t="str">
        <f>IF(AND('Mapa Instituc Corrupc 2023'!$Y$34="Muy Baja",'Mapa Instituc Corrupc 2023'!$AA$34="Catastrófico"),CONCATENATE("R5C",'Mapa Instituc Corrupc 2023'!$O$34),"")</f>
        <v/>
      </c>
      <c r="AI50" s="55" t="str">
        <f>IF(AND('Mapa Instituc Corrupc 2023'!$Y$35="Muy Baja",'Mapa Instituc Corrupc 2023'!$AA$35="Catastrófico"),CONCATENATE("R5C",'Mapa Instituc Corrupc 2023'!$O$35),"")</f>
        <v/>
      </c>
      <c r="AJ50" s="55" t="str">
        <f>IF(AND('Mapa Instituc Corrupc 2023'!$Y$36="Muy Baja",'Mapa Instituc Corrupc 2023'!$AA$36="Catastrófico"),CONCATENATE("R5C",'Mapa Instituc Corrupc 2023'!$O$36),"")</f>
        <v/>
      </c>
      <c r="AK50" s="55" t="str">
        <f>IF(AND('Mapa Instituc Corrupc 2023'!$Y$37="Muy Baja",'Mapa Instituc Corrupc 2023'!$AA$37="Catastrófico"),CONCATENATE("R5C",'Mapa Instituc Corrupc 2023'!$O$37),"")</f>
        <v/>
      </c>
      <c r="AL50" s="55" t="str">
        <f>IF(AND('Mapa Instituc Corrupc 2023'!$Y$38="Muy Baja",'Mapa Instituc Corrupc 2023'!$AA$38="Catastrófico"),CONCATENATE("R5C",'Mapa Instituc Corrupc 2023'!$O$38),"")</f>
        <v/>
      </c>
      <c r="AM50" s="56" t="str">
        <f>IF(AND('Mapa Instituc Corrupc 2023'!$Y$39="Muy Baja",'Mapa Instituc Corrupc 2023'!$AA$39="Catastrófico"),CONCATENATE("R5C",'Mapa Instituc Corrupc 2023'!$O$39),"")</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380"/>
      <c r="C51" s="380"/>
      <c r="D51" s="381"/>
      <c r="E51" s="481"/>
      <c r="F51" s="482"/>
      <c r="G51" s="482"/>
      <c r="H51" s="482"/>
      <c r="I51" s="497"/>
      <c r="J51" s="76" t="str">
        <f>IF(AND('Mapa Instituc Corrupc 2023'!$Y$40="Muy Baja",'Mapa Instituc Corrupc 2023'!$AA$40="Leve"),CONCATENATE("R6C",'Mapa Instituc Corrupc 2023'!$O$40),"")</f>
        <v/>
      </c>
      <c r="K51" s="77" t="str">
        <f>IF(AND('Mapa Instituc Corrupc 2023'!$Y$41="Muy Baja",'Mapa Instituc Corrupc 2023'!$AA$41="Leve"),CONCATENATE("R6C",'Mapa Instituc Corrupc 2023'!$O$41),"")</f>
        <v/>
      </c>
      <c r="L51" s="77" t="str">
        <f>IF(AND('Mapa Instituc Corrupc 2023'!$Y$42="Muy Baja",'Mapa Instituc Corrupc 2023'!$AA$42="Leve"),CONCATENATE("R6C",'Mapa Instituc Corrupc 2023'!$O$42),"")</f>
        <v/>
      </c>
      <c r="M51" s="77" t="str">
        <f>IF(AND('Mapa Instituc Corrupc 2023'!$Y$43="Muy Baja",'Mapa Instituc Corrupc 2023'!$AA$43="Leve"),CONCATENATE("R6C",'Mapa Instituc Corrupc 2023'!$O$43),"")</f>
        <v/>
      </c>
      <c r="N51" s="77" t="str">
        <f>IF(AND('Mapa Instituc Corrupc 2023'!$Y$44="Muy Baja",'Mapa Instituc Corrupc 2023'!$AA$44="Leve"),CONCATENATE("R6C",'Mapa Instituc Corrupc 2023'!$O$44),"")</f>
        <v/>
      </c>
      <c r="O51" s="78" t="str">
        <f>IF(AND('Mapa Instituc Corrupc 2023'!$Y$45="Muy Baja",'Mapa Instituc Corrupc 2023'!$AA$45="Leve"),CONCATENATE("R6C",'Mapa Instituc Corrupc 2023'!$O$45),"")</f>
        <v/>
      </c>
      <c r="P51" s="76" t="str">
        <f>IF(AND('Mapa Instituc Corrupc 2023'!$Y$40="Muy Baja",'Mapa Instituc Corrupc 2023'!$AA$40="Menor"),CONCATENATE("R6C",'Mapa Instituc Corrupc 2023'!$O$40),"")</f>
        <v/>
      </c>
      <c r="Q51" s="77" t="str">
        <f>IF(AND('Mapa Instituc Corrupc 2023'!$Y$41="Muy Baja",'Mapa Instituc Corrupc 2023'!$AA$41="Menor"),CONCATENATE("R6C",'Mapa Instituc Corrupc 2023'!$O$41),"")</f>
        <v/>
      </c>
      <c r="R51" s="77" t="str">
        <f>IF(AND('Mapa Instituc Corrupc 2023'!$Y$42="Muy Baja",'Mapa Instituc Corrupc 2023'!$AA$42="Menor"),CONCATENATE("R6C",'Mapa Instituc Corrupc 2023'!$O$42),"")</f>
        <v/>
      </c>
      <c r="S51" s="77" t="str">
        <f>IF(AND('Mapa Instituc Corrupc 2023'!$Y$43="Muy Baja",'Mapa Instituc Corrupc 2023'!$AA$43="Menor"),CONCATENATE("R6C",'Mapa Instituc Corrupc 2023'!$O$43),"")</f>
        <v/>
      </c>
      <c r="T51" s="77" t="str">
        <f>IF(AND('Mapa Instituc Corrupc 2023'!$Y$44="Muy Baja",'Mapa Instituc Corrupc 2023'!$AA$44="Menor"),CONCATENATE("R6C",'Mapa Instituc Corrupc 2023'!$O$44),"")</f>
        <v/>
      </c>
      <c r="U51" s="78" t="str">
        <f>IF(AND('Mapa Instituc Corrupc 2023'!$Y$45="Muy Baja",'Mapa Instituc Corrupc 2023'!$AA$45="Menor"),CONCATENATE("R6C",'Mapa Instituc Corrupc 2023'!$O$45),"")</f>
        <v/>
      </c>
      <c r="V51" s="67" t="str">
        <f>IF(AND('Mapa Instituc Corrupc 2023'!$Y$40="Muy Baja",'Mapa Instituc Corrupc 2023'!$AA$40="Moderado"),CONCATENATE("R6C",'Mapa Instituc Corrupc 2023'!$O$40),"")</f>
        <v/>
      </c>
      <c r="W51" s="68" t="str">
        <f>IF(AND('Mapa Instituc Corrupc 2023'!$Y$41="Muy Baja",'Mapa Instituc Corrupc 2023'!$AA$41="Moderado"),CONCATENATE("R6C",'Mapa Instituc Corrupc 2023'!$O$41),"")</f>
        <v/>
      </c>
      <c r="X51" s="68" t="str">
        <f>IF(AND('Mapa Instituc Corrupc 2023'!$Y$42="Muy Baja",'Mapa Instituc Corrupc 2023'!$AA$42="Moderado"),CONCATENATE("R6C",'Mapa Instituc Corrupc 2023'!$O$42),"")</f>
        <v/>
      </c>
      <c r="Y51" s="68" t="str">
        <f>IF(AND('Mapa Instituc Corrupc 2023'!$Y$43="Muy Baja",'Mapa Instituc Corrupc 2023'!$AA$43="Moderado"),CONCATENATE("R6C",'Mapa Instituc Corrupc 2023'!$O$43),"")</f>
        <v/>
      </c>
      <c r="Z51" s="68" t="str">
        <f>IF(AND('Mapa Instituc Corrupc 2023'!$Y$44="Muy Baja",'Mapa Instituc Corrupc 2023'!$AA$44="Moderado"),CONCATENATE("R6C",'Mapa Instituc Corrupc 2023'!$O$44),"")</f>
        <v/>
      </c>
      <c r="AA51" s="69" t="str">
        <f>IF(AND('Mapa Instituc Corrupc 2023'!$Y$45="Muy Baja",'Mapa Instituc Corrupc 2023'!$AA$45="Moderado"),CONCATENATE("R6C",'Mapa Instituc Corrupc 2023'!$O$45),"")</f>
        <v/>
      </c>
      <c r="AB51" s="51" t="str">
        <f>IF(AND('Mapa Instituc Corrupc 2023'!$Y$40="Muy Baja",'Mapa Instituc Corrupc 2023'!$AA$40="Mayor"),CONCATENATE("R6C",'Mapa Instituc Corrupc 2023'!$O$40),"")</f>
        <v/>
      </c>
      <c r="AC51" s="52" t="str">
        <f>IF(AND('Mapa Instituc Corrupc 2023'!$Y$41="Muy Baja",'Mapa Instituc Corrupc 2023'!$AA$41="Mayor"),CONCATENATE("R6C",'Mapa Instituc Corrupc 2023'!$O$41),"")</f>
        <v/>
      </c>
      <c r="AD51" s="57" t="str">
        <f>IF(AND('Mapa Instituc Corrupc 2023'!$Y$42="Muy Baja",'Mapa Instituc Corrupc 2023'!$AA$42="Mayor"),CONCATENATE("R6C",'Mapa Instituc Corrupc 2023'!$O$42),"")</f>
        <v/>
      </c>
      <c r="AE51" s="57" t="str">
        <f>IF(AND('Mapa Instituc Corrupc 2023'!$Y$43="Muy Baja",'Mapa Instituc Corrupc 2023'!$AA$43="Mayor"),CONCATENATE("R6C",'Mapa Instituc Corrupc 2023'!$O$43),"")</f>
        <v/>
      </c>
      <c r="AF51" s="57" t="str">
        <f>IF(AND('Mapa Instituc Corrupc 2023'!$Y$44="Muy Baja",'Mapa Instituc Corrupc 2023'!$AA$44="Mayor"),CONCATENATE("R6C",'Mapa Instituc Corrupc 2023'!$O$44),"")</f>
        <v/>
      </c>
      <c r="AG51" s="53" t="str">
        <f>IF(AND('Mapa Instituc Corrupc 2023'!$Y$45="Muy Baja",'Mapa Instituc Corrupc 2023'!$AA$45="Mayor"),CONCATENATE("R6C",'Mapa Instituc Corrupc 2023'!$O$45),"")</f>
        <v/>
      </c>
      <c r="AH51" s="54" t="str">
        <f>IF(AND('Mapa Instituc Corrupc 2023'!$Y$40="Muy Baja",'Mapa Instituc Corrupc 2023'!$AA$40="Catastrófico"),CONCATENATE("R6C",'Mapa Instituc Corrupc 2023'!$O$40),"")</f>
        <v/>
      </c>
      <c r="AI51" s="55" t="str">
        <f>IF(AND('Mapa Instituc Corrupc 2023'!$Y$41="Muy Baja",'Mapa Instituc Corrupc 2023'!$AA$41="Catastrófico"),CONCATENATE("R6C",'Mapa Instituc Corrupc 2023'!$O$41),"")</f>
        <v/>
      </c>
      <c r="AJ51" s="55" t="str">
        <f>IF(AND('Mapa Instituc Corrupc 2023'!$Y$42="Muy Baja",'Mapa Instituc Corrupc 2023'!$AA$42="Catastrófico"),CONCATENATE("R6C",'Mapa Instituc Corrupc 2023'!$O$42),"")</f>
        <v/>
      </c>
      <c r="AK51" s="55" t="str">
        <f>IF(AND('Mapa Instituc Corrupc 2023'!$Y$43="Muy Baja",'Mapa Instituc Corrupc 2023'!$AA$43="Catastrófico"),CONCATENATE("R6C",'Mapa Instituc Corrupc 2023'!$O$43),"")</f>
        <v/>
      </c>
      <c r="AL51" s="55" t="str">
        <f>IF(AND('Mapa Instituc Corrupc 2023'!$Y$44="Muy Baja",'Mapa Instituc Corrupc 2023'!$AA$44="Catastrófico"),CONCATENATE("R6C",'Mapa Instituc Corrupc 2023'!$O$44),"")</f>
        <v/>
      </c>
      <c r="AM51" s="56" t="str">
        <f>IF(AND('Mapa Instituc Corrupc 2023'!$Y$45="Muy Baja",'Mapa Instituc Corrupc 2023'!$AA$45="Catastrófico"),CONCATENATE("R6C",'Mapa Instituc Corrupc 2023'!$O$45),"")</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380"/>
      <c r="C52" s="380"/>
      <c r="D52" s="381"/>
      <c r="E52" s="481"/>
      <c r="F52" s="482"/>
      <c r="G52" s="482"/>
      <c r="H52" s="482"/>
      <c r="I52" s="497"/>
      <c r="J52" s="76" t="str">
        <f>IF(AND('Mapa Instituc Corrupc 2023'!$Y$46="Muy Baja",'Mapa Instituc Corrupc 2023'!$AA$46="Leve"),CONCATENATE("R7C",'Mapa Instituc Corrupc 2023'!$O$46),"")</f>
        <v/>
      </c>
      <c r="K52" s="77" t="str">
        <f>IF(AND('Mapa Instituc Corrupc 2023'!$Y$47="Muy Baja",'Mapa Instituc Corrupc 2023'!$AA$47="Leve"),CONCATENATE("R7C",'Mapa Instituc Corrupc 2023'!$O$47),"")</f>
        <v/>
      </c>
      <c r="L52" s="77" t="str">
        <f>IF(AND('Mapa Instituc Corrupc 2023'!$Y$48="Muy Baja",'Mapa Instituc Corrupc 2023'!$AA$48="Leve"),CONCATENATE("R7C",'Mapa Instituc Corrupc 2023'!$O$48),"")</f>
        <v/>
      </c>
      <c r="M52" s="77" t="str">
        <f>IF(AND('Mapa Instituc Corrupc 2023'!$Y$49="Muy Baja",'Mapa Instituc Corrupc 2023'!$AA$49="Leve"),CONCATENATE("R7C",'Mapa Instituc Corrupc 2023'!$O$49),"")</f>
        <v/>
      </c>
      <c r="N52" s="77" t="str">
        <f>IF(AND('Mapa Instituc Corrupc 2023'!$Y$50="Muy Baja",'Mapa Instituc Corrupc 2023'!$AA$50="Leve"),CONCATENATE("R7C",'Mapa Instituc Corrupc 2023'!$O$50),"")</f>
        <v/>
      </c>
      <c r="O52" s="78" t="str">
        <f>IF(AND('Mapa Instituc Corrupc 2023'!$Y$51="Muy Baja",'Mapa Instituc Corrupc 2023'!$AA$51="Leve"),CONCATENATE("R7C",'Mapa Instituc Corrupc 2023'!$O$51),"")</f>
        <v/>
      </c>
      <c r="P52" s="76" t="str">
        <f>IF(AND('Mapa Instituc Corrupc 2023'!$Y$46="Muy Baja",'Mapa Instituc Corrupc 2023'!$AA$46="Menor"),CONCATENATE("R7C",'Mapa Instituc Corrupc 2023'!$O$46),"")</f>
        <v/>
      </c>
      <c r="Q52" s="77" t="str">
        <f>IF(AND('Mapa Instituc Corrupc 2023'!$Y$47="Muy Baja",'Mapa Instituc Corrupc 2023'!$AA$47="Menor"),CONCATENATE("R7C",'Mapa Instituc Corrupc 2023'!$O$47),"")</f>
        <v/>
      </c>
      <c r="R52" s="77" t="str">
        <f>IF(AND('Mapa Instituc Corrupc 2023'!$Y$48="Muy Baja",'Mapa Instituc Corrupc 2023'!$AA$48="Menor"),CONCATENATE("R7C",'Mapa Instituc Corrupc 2023'!$O$48),"")</f>
        <v/>
      </c>
      <c r="S52" s="77" t="str">
        <f>IF(AND('Mapa Instituc Corrupc 2023'!$Y$49="Muy Baja",'Mapa Instituc Corrupc 2023'!$AA$49="Menor"),CONCATENATE("R7C",'Mapa Instituc Corrupc 2023'!$O$49),"")</f>
        <v/>
      </c>
      <c r="T52" s="77" t="str">
        <f>IF(AND('Mapa Instituc Corrupc 2023'!$Y$50="Muy Baja",'Mapa Instituc Corrupc 2023'!$AA$50="Menor"),CONCATENATE("R7C",'Mapa Instituc Corrupc 2023'!$O$50),"")</f>
        <v/>
      </c>
      <c r="U52" s="78" t="str">
        <f>IF(AND('Mapa Instituc Corrupc 2023'!$Y$51="Muy Baja",'Mapa Instituc Corrupc 2023'!$AA$51="Menor"),CONCATENATE("R7C",'Mapa Instituc Corrupc 2023'!$O$51),"")</f>
        <v/>
      </c>
      <c r="V52" s="67" t="str">
        <f>IF(AND('Mapa Instituc Corrupc 2023'!$Y$46="Muy Baja",'Mapa Instituc Corrupc 2023'!$AA$46="Moderado"),CONCATENATE("R7C",'Mapa Instituc Corrupc 2023'!$O$46),"")</f>
        <v/>
      </c>
      <c r="W52" s="68" t="str">
        <f>IF(AND('Mapa Instituc Corrupc 2023'!$Y$47="Muy Baja",'Mapa Instituc Corrupc 2023'!$AA$47="Moderado"),CONCATENATE("R7C",'Mapa Instituc Corrupc 2023'!$O$47),"")</f>
        <v/>
      </c>
      <c r="X52" s="68" t="str">
        <f>IF(AND('Mapa Instituc Corrupc 2023'!$Y$48="Muy Baja",'Mapa Instituc Corrupc 2023'!$AA$48="Moderado"),CONCATENATE("R7C",'Mapa Instituc Corrupc 2023'!$O$48),"")</f>
        <v/>
      </c>
      <c r="Y52" s="68" t="str">
        <f>IF(AND('Mapa Instituc Corrupc 2023'!$Y$49="Muy Baja",'Mapa Instituc Corrupc 2023'!$AA$49="Moderado"),CONCATENATE("R7C",'Mapa Instituc Corrupc 2023'!$O$49),"")</f>
        <v/>
      </c>
      <c r="Z52" s="68" t="str">
        <f>IF(AND('Mapa Instituc Corrupc 2023'!$Y$50="Muy Baja",'Mapa Instituc Corrupc 2023'!$AA$50="Moderado"),CONCATENATE("R7C",'Mapa Instituc Corrupc 2023'!$O$50),"")</f>
        <v/>
      </c>
      <c r="AA52" s="69" t="str">
        <f>IF(AND('Mapa Instituc Corrupc 2023'!$Y$51="Muy Baja",'Mapa Instituc Corrupc 2023'!$AA$51="Moderado"),CONCATENATE("R7C",'Mapa Instituc Corrupc 2023'!$O$51),"")</f>
        <v/>
      </c>
      <c r="AB52" s="51" t="str">
        <f>IF(AND('Mapa Instituc Corrupc 2023'!$Y$46="Muy Baja",'Mapa Instituc Corrupc 2023'!$AA$46="Mayor"),CONCATENATE("R7C",'Mapa Instituc Corrupc 2023'!$O$46),"")</f>
        <v/>
      </c>
      <c r="AC52" s="52" t="str">
        <f>IF(AND('Mapa Instituc Corrupc 2023'!$Y$47="Muy Baja",'Mapa Instituc Corrupc 2023'!$AA$47="Mayor"),CONCATENATE("R7C",'Mapa Instituc Corrupc 2023'!$O$47),"")</f>
        <v/>
      </c>
      <c r="AD52" s="57" t="str">
        <f>IF(AND('Mapa Instituc Corrupc 2023'!$Y$48="Muy Baja",'Mapa Instituc Corrupc 2023'!$AA$48="Mayor"),CONCATENATE("R7C",'Mapa Instituc Corrupc 2023'!$O$48),"")</f>
        <v/>
      </c>
      <c r="AE52" s="57" t="str">
        <f>IF(AND('Mapa Instituc Corrupc 2023'!$Y$49="Muy Baja",'Mapa Instituc Corrupc 2023'!$AA$49="Mayor"),CONCATENATE("R7C",'Mapa Instituc Corrupc 2023'!$O$49),"")</f>
        <v/>
      </c>
      <c r="AF52" s="57" t="str">
        <f>IF(AND('Mapa Instituc Corrupc 2023'!$Y$50="Muy Baja",'Mapa Instituc Corrupc 2023'!$AA$50="Mayor"),CONCATENATE("R7C",'Mapa Instituc Corrupc 2023'!$O$50),"")</f>
        <v/>
      </c>
      <c r="AG52" s="53" t="str">
        <f>IF(AND('Mapa Instituc Corrupc 2023'!$Y$51="Muy Baja",'Mapa Instituc Corrupc 2023'!$AA$51="Mayor"),CONCATENATE("R7C",'Mapa Instituc Corrupc 2023'!$O$51),"")</f>
        <v/>
      </c>
      <c r="AH52" s="54" t="str">
        <f>IF(AND('Mapa Instituc Corrupc 2023'!$Y$46="Muy Baja",'Mapa Instituc Corrupc 2023'!$AA$46="Catastrófico"),CONCATENATE("R7C",'Mapa Instituc Corrupc 2023'!$O$46),"")</f>
        <v/>
      </c>
      <c r="AI52" s="55" t="str">
        <f>IF(AND('Mapa Instituc Corrupc 2023'!$Y$47="Muy Baja",'Mapa Instituc Corrupc 2023'!$AA$47="Catastrófico"),CONCATENATE("R7C",'Mapa Instituc Corrupc 2023'!$O$47),"")</f>
        <v/>
      </c>
      <c r="AJ52" s="55" t="str">
        <f>IF(AND('Mapa Instituc Corrupc 2023'!$Y$48="Muy Baja",'Mapa Instituc Corrupc 2023'!$AA$48="Catastrófico"),CONCATENATE("R7C",'Mapa Instituc Corrupc 2023'!$O$48),"")</f>
        <v/>
      </c>
      <c r="AK52" s="55" t="str">
        <f>IF(AND('Mapa Instituc Corrupc 2023'!$Y$49="Muy Baja",'Mapa Instituc Corrupc 2023'!$AA$49="Catastrófico"),CONCATENATE("R7C",'Mapa Instituc Corrupc 2023'!$O$49),"")</f>
        <v/>
      </c>
      <c r="AL52" s="55" t="str">
        <f>IF(AND('Mapa Instituc Corrupc 2023'!$Y$50="Muy Baja",'Mapa Instituc Corrupc 2023'!$AA$50="Catastrófico"),CONCATENATE("R7C",'Mapa Instituc Corrupc 2023'!$O$50),"")</f>
        <v/>
      </c>
      <c r="AM52" s="56" t="str">
        <f>IF(AND('Mapa Instituc Corrupc 2023'!$Y$51="Muy Baja",'Mapa Instituc Corrupc 2023'!$AA$51="Catastrófico"),CONCATENATE("R7C",'Mapa Instituc Corrupc 2023'!$O$51),"")</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380"/>
      <c r="C53" s="380"/>
      <c r="D53" s="381"/>
      <c r="E53" s="481"/>
      <c r="F53" s="482"/>
      <c r="G53" s="482"/>
      <c r="H53" s="482"/>
      <c r="I53" s="497"/>
      <c r="J53" s="76" t="str">
        <f>IF(AND('Mapa Instituc Corrupc 2023'!$Y$52="Muy Baja",'Mapa Instituc Corrupc 2023'!$AA$52="Leve"),CONCATENATE("R8C",'Mapa Instituc Corrupc 2023'!$O$52),"")</f>
        <v/>
      </c>
      <c r="K53" s="77" t="str">
        <f>IF(AND('Mapa Instituc Corrupc 2023'!$Y$53="Muy Baja",'Mapa Instituc Corrupc 2023'!$AA$53="Leve"),CONCATENATE("R8C",'Mapa Instituc Corrupc 2023'!$O$53),"")</f>
        <v/>
      </c>
      <c r="L53" s="77" t="str">
        <f>IF(AND('Mapa Instituc Corrupc 2023'!$Y$54="Muy Baja",'Mapa Instituc Corrupc 2023'!$AA$54="Leve"),CONCATENATE("R8C",'Mapa Instituc Corrupc 2023'!$O$54),"")</f>
        <v/>
      </c>
      <c r="M53" s="77" t="str">
        <f>IF(AND('Mapa Instituc Corrupc 2023'!$Y$55="Muy Baja",'Mapa Instituc Corrupc 2023'!$AA$55="Leve"),CONCATENATE("R8C",'Mapa Instituc Corrupc 2023'!$O$55),"")</f>
        <v/>
      </c>
      <c r="N53" s="77" t="str">
        <f>IF(AND('Mapa Instituc Corrupc 2023'!$Y$56="Muy Baja",'Mapa Instituc Corrupc 2023'!$AA$56="Leve"),CONCATENATE("R8C",'Mapa Instituc Corrupc 2023'!$O$56),"")</f>
        <v/>
      </c>
      <c r="O53" s="78" t="str">
        <f>IF(AND('Mapa Instituc Corrupc 2023'!$Y$57="Muy Baja",'Mapa Instituc Corrupc 2023'!$AA$57="Leve"),CONCATENATE("R8C",'Mapa Instituc Corrupc 2023'!$O$57),"")</f>
        <v/>
      </c>
      <c r="P53" s="76" t="str">
        <f>IF(AND('Mapa Instituc Corrupc 2023'!$Y$52="Muy Baja",'Mapa Instituc Corrupc 2023'!$AA$52="Menor"),CONCATENATE("R8C",'Mapa Instituc Corrupc 2023'!$O$52),"")</f>
        <v/>
      </c>
      <c r="Q53" s="77" t="str">
        <f>IF(AND('Mapa Instituc Corrupc 2023'!$Y$53="Muy Baja",'Mapa Instituc Corrupc 2023'!$AA$53="Menor"),CONCATENATE("R8C",'Mapa Instituc Corrupc 2023'!$O$53),"")</f>
        <v/>
      </c>
      <c r="R53" s="77" t="str">
        <f>IF(AND('Mapa Instituc Corrupc 2023'!$Y$54="Muy Baja",'Mapa Instituc Corrupc 2023'!$AA$54="Menor"),CONCATENATE("R8C",'Mapa Instituc Corrupc 2023'!$O$54),"")</f>
        <v/>
      </c>
      <c r="S53" s="77" t="str">
        <f>IF(AND('Mapa Instituc Corrupc 2023'!$Y$55="Muy Baja",'Mapa Instituc Corrupc 2023'!$AA$55="Menor"),CONCATENATE("R8C",'Mapa Instituc Corrupc 2023'!$O$55),"")</f>
        <v/>
      </c>
      <c r="T53" s="77" t="str">
        <f>IF(AND('Mapa Instituc Corrupc 2023'!$Y$56="Muy Baja",'Mapa Instituc Corrupc 2023'!$AA$56="Menor"),CONCATENATE("R8C",'Mapa Instituc Corrupc 2023'!$O$56),"")</f>
        <v/>
      </c>
      <c r="U53" s="78" t="str">
        <f>IF(AND('Mapa Instituc Corrupc 2023'!$Y$57="Muy Baja",'Mapa Instituc Corrupc 2023'!$AA$57="Menor"),CONCATENATE("R8C",'Mapa Instituc Corrupc 2023'!$O$57),"")</f>
        <v/>
      </c>
      <c r="V53" s="67" t="str">
        <f>IF(AND('Mapa Instituc Corrupc 2023'!$Y$52="Muy Baja",'Mapa Instituc Corrupc 2023'!$AA$52="Moderado"),CONCATENATE("R8C",'Mapa Instituc Corrupc 2023'!$O$52),"")</f>
        <v/>
      </c>
      <c r="W53" s="68" t="str">
        <f>IF(AND('Mapa Instituc Corrupc 2023'!$Y$53="Muy Baja",'Mapa Instituc Corrupc 2023'!$AA$53="Moderado"),CONCATENATE("R8C",'Mapa Instituc Corrupc 2023'!$O$53),"")</f>
        <v/>
      </c>
      <c r="X53" s="68" t="str">
        <f>IF(AND('Mapa Instituc Corrupc 2023'!$Y$54="Muy Baja",'Mapa Instituc Corrupc 2023'!$AA$54="Moderado"),CONCATENATE("R8C",'Mapa Instituc Corrupc 2023'!$O$54),"")</f>
        <v/>
      </c>
      <c r="Y53" s="68" t="str">
        <f>IF(AND('Mapa Instituc Corrupc 2023'!$Y$55="Muy Baja",'Mapa Instituc Corrupc 2023'!$AA$55="Moderado"),CONCATENATE("R8C",'Mapa Instituc Corrupc 2023'!$O$55),"")</f>
        <v/>
      </c>
      <c r="Z53" s="68" t="str">
        <f>IF(AND('Mapa Instituc Corrupc 2023'!$Y$56="Muy Baja",'Mapa Instituc Corrupc 2023'!$AA$56="Moderado"),CONCATENATE("R8C",'Mapa Instituc Corrupc 2023'!$O$56),"")</f>
        <v/>
      </c>
      <c r="AA53" s="69" t="str">
        <f>IF(AND('Mapa Instituc Corrupc 2023'!$Y$57="Muy Baja",'Mapa Instituc Corrupc 2023'!$AA$57="Moderado"),CONCATENATE("R8C",'Mapa Instituc Corrupc 2023'!$O$57),"")</f>
        <v/>
      </c>
      <c r="AB53" s="51" t="str">
        <f>IF(AND('Mapa Instituc Corrupc 2023'!$Y$52="Muy Baja",'Mapa Instituc Corrupc 2023'!$AA$52="Mayor"),CONCATENATE("R8C",'Mapa Instituc Corrupc 2023'!$O$52),"")</f>
        <v/>
      </c>
      <c r="AC53" s="52" t="str">
        <f>IF(AND('Mapa Instituc Corrupc 2023'!$Y$53="Muy Baja",'Mapa Instituc Corrupc 2023'!$AA$53="Mayor"),CONCATENATE("R8C",'Mapa Instituc Corrupc 2023'!$O$53),"")</f>
        <v/>
      </c>
      <c r="AD53" s="57" t="str">
        <f>IF(AND('Mapa Instituc Corrupc 2023'!$Y$54="Muy Baja",'Mapa Instituc Corrupc 2023'!$AA$54="Mayor"),CONCATENATE("R8C",'Mapa Instituc Corrupc 2023'!$O$54),"")</f>
        <v/>
      </c>
      <c r="AE53" s="57" t="str">
        <f>IF(AND('Mapa Instituc Corrupc 2023'!$Y$55="Muy Baja",'Mapa Instituc Corrupc 2023'!$AA$55="Mayor"),CONCATENATE("R8C",'Mapa Instituc Corrupc 2023'!$O$55),"")</f>
        <v/>
      </c>
      <c r="AF53" s="57" t="str">
        <f>IF(AND('Mapa Instituc Corrupc 2023'!$Y$56="Muy Baja",'Mapa Instituc Corrupc 2023'!$AA$56="Mayor"),CONCATENATE("R8C",'Mapa Instituc Corrupc 2023'!$O$56),"")</f>
        <v/>
      </c>
      <c r="AG53" s="53" t="str">
        <f>IF(AND('Mapa Instituc Corrupc 2023'!$Y$57="Muy Baja",'Mapa Instituc Corrupc 2023'!$AA$57="Mayor"),CONCATENATE("R8C",'Mapa Instituc Corrupc 2023'!$O$57),"")</f>
        <v/>
      </c>
      <c r="AH53" s="54" t="str">
        <f>IF(AND('Mapa Instituc Corrupc 2023'!$Y$52="Muy Baja",'Mapa Instituc Corrupc 2023'!$AA$52="Catastrófico"),CONCATENATE("R8C",'Mapa Instituc Corrupc 2023'!$O$52),"")</f>
        <v/>
      </c>
      <c r="AI53" s="55" t="str">
        <f>IF(AND('Mapa Instituc Corrupc 2023'!$Y$53="Muy Baja",'Mapa Instituc Corrupc 2023'!$AA$53="Catastrófico"),CONCATENATE("R8C",'Mapa Instituc Corrupc 2023'!$O$53),"")</f>
        <v/>
      </c>
      <c r="AJ53" s="55" t="str">
        <f>IF(AND('Mapa Instituc Corrupc 2023'!$Y$54="Muy Baja",'Mapa Instituc Corrupc 2023'!$AA$54="Catastrófico"),CONCATENATE("R8C",'Mapa Instituc Corrupc 2023'!$O$54),"")</f>
        <v/>
      </c>
      <c r="AK53" s="55" t="str">
        <f>IF(AND('Mapa Instituc Corrupc 2023'!$Y$55="Muy Baja",'Mapa Instituc Corrupc 2023'!$AA$55="Catastrófico"),CONCATENATE("R8C",'Mapa Instituc Corrupc 2023'!$O$55),"")</f>
        <v/>
      </c>
      <c r="AL53" s="55" t="str">
        <f>IF(AND('Mapa Instituc Corrupc 2023'!$Y$56="Muy Baja",'Mapa Instituc Corrupc 2023'!$AA$56="Catastrófico"),CONCATENATE("R8C",'Mapa Instituc Corrupc 2023'!$O$56),"")</f>
        <v/>
      </c>
      <c r="AM53" s="56" t="str">
        <f>IF(AND('Mapa Instituc Corrupc 2023'!$Y$57="Muy Baja",'Mapa Instituc Corrupc 2023'!$AA$57="Catastrófico"),CONCATENATE("R8C",'Mapa Instituc Corrupc 2023'!$O$57),"")</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380"/>
      <c r="C54" s="380"/>
      <c r="D54" s="381"/>
      <c r="E54" s="481"/>
      <c r="F54" s="482"/>
      <c r="G54" s="482"/>
      <c r="H54" s="482"/>
      <c r="I54" s="497"/>
      <c r="J54" s="76" t="str">
        <f>IF(AND('Mapa Instituc Corrupc 2023'!$Y$58="Muy Baja",'Mapa Instituc Corrupc 2023'!$AA$58="Leve"),CONCATENATE("R9C",'Mapa Instituc Corrupc 2023'!$O$58),"")</f>
        <v/>
      </c>
      <c r="K54" s="77" t="str">
        <f>IF(AND('Mapa Instituc Corrupc 2023'!$Y$59="Muy Baja",'Mapa Instituc Corrupc 2023'!$AA$59="Leve"),CONCATENATE("R9C",'Mapa Instituc Corrupc 2023'!$O$59),"")</f>
        <v/>
      </c>
      <c r="L54" s="77" t="str">
        <f>IF(AND('Mapa Instituc Corrupc 2023'!$Y$60="Muy Baja",'Mapa Instituc Corrupc 2023'!$AA$60="Leve"),CONCATENATE("R9C",'Mapa Instituc Corrupc 2023'!$O$60),"")</f>
        <v/>
      </c>
      <c r="M54" s="77" t="str">
        <f>IF(AND('Mapa Instituc Corrupc 2023'!$Y$61="Muy Baja",'Mapa Instituc Corrupc 2023'!$AA$61="Leve"),CONCATENATE("R9C",'Mapa Instituc Corrupc 2023'!$O$61),"")</f>
        <v/>
      </c>
      <c r="N54" s="77" t="str">
        <f>IF(AND('Mapa Instituc Corrupc 2023'!$Y$62="Muy Baja",'Mapa Instituc Corrupc 2023'!$AA$62="Leve"),CONCATENATE("R9C",'Mapa Instituc Corrupc 2023'!$O$62),"")</f>
        <v/>
      </c>
      <c r="O54" s="78" t="str">
        <f>IF(AND('Mapa Instituc Corrupc 2023'!$Y$63="Muy Baja",'Mapa Instituc Corrupc 2023'!$AA$63="Leve"),CONCATENATE("R9C",'Mapa Instituc Corrupc 2023'!$O$63),"")</f>
        <v/>
      </c>
      <c r="P54" s="76" t="str">
        <f>IF(AND('Mapa Instituc Corrupc 2023'!$Y$58="Muy Baja",'Mapa Instituc Corrupc 2023'!$AA$58="Menor"),CONCATENATE("R9C",'Mapa Instituc Corrupc 2023'!$O$58),"")</f>
        <v/>
      </c>
      <c r="Q54" s="77" t="str">
        <f>IF(AND('Mapa Instituc Corrupc 2023'!$Y$59="Muy Baja",'Mapa Instituc Corrupc 2023'!$AA$59="Menor"),CONCATENATE("R9C",'Mapa Instituc Corrupc 2023'!$O$59),"")</f>
        <v/>
      </c>
      <c r="R54" s="77" t="str">
        <f>IF(AND('Mapa Instituc Corrupc 2023'!$Y$60="Muy Baja",'Mapa Instituc Corrupc 2023'!$AA$60="Menor"),CONCATENATE("R9C",'Mapa Instituc Corrupc 2023'!$O$60),"")</f>
        <v/>
      </c>
      <c r="S54" s="77" t="str">
        <f>IF(AND('Mapa Instituc Corrupc 2023'!$Y$61="Muy Baja",'Mapa Instituc Corrupc 2023'!$AA$61="Menor"),CONCATENATE("R9C",'Mapa Instituc Corrupc 2023'!$O$61),"")</f>
        <v/>
      </c>
      <c r="T54" s="77" t="str">
        <f>IF(AND('Mapa Instituc Corrupc 2023'!$Y$62="Muy Baja",'Mapa Instituc Corrupc 2023'!$AA$62="Menor"),CONCATENATE("R9C",'Mapa Instituc Corrupc 2023'!$O$62),"")</f>
        <v/>
      </c>
      <c r="U54" s="78" t="str">
        <f>IF(AND('Mapa Instituc Corrupc 2023'!$Y$63="Muy Baja",'Mapa Instituc Corrupc 2023'!$AA$63="Menor"),CONCATENATE("R9C",'Mapa Instituc Corrupc 2023'!$O$63),"")</f>
        <v/>
      </c>
      <c r="V54" s="67" t="str">
        <f>IF(AND('Mapa Instituc Corrupc 2023'!$Y$58="Muy Baja",'Mapa Instituc Corrupc 2023'!$AA$58="Moderado"),CONCATENATE("R9C",'Mapa Instituc Corrupc 2023'!$O$58),"")</f>
        <v/>
      </c>
      <c r="W54" s="68" t="str">
        <f>IF(AND('Mapa Instituc Corrupc 2023'!$Y$59="Muy Baja",'Mapa Instituc Corrupc 2023'!$AA$59="Moderado"),CONCATENATE("R9C",'Mapa Instituc Corrupc 2023'!$O$59),"")</f>
        <v/>
      </c>
      <c r="X54" s="68" t="str">
        <f>IF(AND('Mapa Instituc Corrupc 2023'!$Y$60="Muy Baja",'Mapa Instituc Corrupc 2023'!$AA$60="Moderado"),CONCATENATE("R9C",'Mapa Instituc Corrupc 2023'!$O$60),"")</f>
        <v/>
      </c>
      <c r="Y54" s="68" t="str">
        <f>IF(AND('Mapa Instituc Corrupc 2023'!$Y$61="Muy Baja",'Mapa Instituc Corrupc 2023'!$AA$61="Moderado"),CONCATENATE("R9C",'Mapa Instituc Corrupc 2023'!$O$61),"")</f>
        <v/>
      </c>
      <c r="Z54" s="68" t="str">
        <f>IF(AND('Mapa Instituc Corrupc 2023'!$Y$62="Muy Baja",'Mapa Instituc Corrupc 2023'!$AA$62="Moderado"),CONCATENATE("R9C",'Mapa Instituc Corrupc 2023'!$O$62),"")</f>
        <v/>
      </c>
      <c r="AA54" s="69" t="str">
        <f>IF(AND('Mapa Instituc Corrupc 2023'!$Y$63="Muy Baja",'Mapa Instituc Corrupc 2023'!$AA$63="Moderado"),CONCATENATE("R9C",'Mapa Instituc Corrupc 2023'!$O$63),"")</f>
        <v/>
      </c>
      <c r="AB54" s="51" t="str">
        <f>IF(AND('Mapa Instituc Corrupc 2023'!$Y$58="Muy Baja",'Mapa Instituc Corrupc 2023'!$AA$58="Mayor"),CONCATENATE("R9C",'Mapa Instituc Corrupc 2023'!$O$58),"")</f>
        <v/>
      </c>
      <c r="AC54" s="52" t="str">
        <f>IF(AND('Mapa Instituc Corrupc 2023'!$Y$59="Muy Baja",'Mapa Instituc Corrupc 2023'!$AA$59="Mayor"),CONCATENATE("R9C",'Mapa Instituc Corrupc 2023'!$O$59),"")</f>
        <v/>
      </c>
      <c r="AD54" s="57" t="str">
        <f>IF(AND('Mapa Instituc Corrupc 2023'!$Y$60="Muy Baja",'Mapa Instituc Corrupc 2023'!$AA$60="Mayor"),CONCATENATE("R9C",'Mapa Instituc Corrupc 2023'!$O$60),"")</f>
        <v/>
      </c>
      <c r="AE54" s="57" t="str">
        <f>IF(AND('Mapa Instituc Corrupc 2023'!$Y$61="Muy Baja",'Mapa Instituc Corrupc 2023'!$AA$61="Mayor"),CONCATENATE("R9C",'Mapa Instituc Corrupc 2023'!$O$61),"")</f>
        <v/>
      </c>
      <c r="AF54" s="57" t="str">
        <f>IF(AND('Mapa Instituc Corrupc 2023'!$Y$62="Muy Baja",'Mapa Instituc Corrupc 2023'!$AA$62="Mayor"),CONCATENATE("R9C",'Mapa Instituc Corrupc 2023'!$O$62),"")</f>
        <v/>
      </c>
      <c r="AG54" s="53" t="str">
        <f>IF(AND('Mapa Instituc Corrupc 2023'!$Y$63="Muy Baja",'Mapa Instituc Corrupc 2023'!$AA$63="Mayor"),CONCATENATE("R9C",'Mapa Instituc Corrupc 2023'!$O$63),"")</f>
        <v/>
      </c>
      <c r="AH54" s="54" t="str">
        <f>IF(AND('Mapa Instituc Corrupc 2023'!$Y$58="Muy Baja",'Mapa Instituc Corrupc 2023'!$AA$58="Catastrófico"),CONCATENATE("R9C",'Mapa Instituc Corrupc 2023'!$O$58),"")</f>
        <v/>
      </c>
      <c r="AI54" s="55" t="str">
        <f>IF(AND('Mapa Instituc Corrupc 2023'!$Y$59="Muy Baja",'Mapa Instituc Corrupc 2023'!$AA$59="Catastrófico"),CONCATENATE("R9C",'Mapa Instituc Corrupc 2023'!$O$59),"")</f>
        <v/>
      </c>
      <c r="AJ54" s="55" t="str">
        <f>IF(AND('Mapa Instituc Corrupc 2023'!$Y$60="Muy Baja",'Mapa Instituc Corrupc 2023'!$AA$60="Catastrófico"),CONCATENATE("R9C",'Mapa Instituc Corrupc 2023'!$O$60),"")</f>
        <v/>
      </c>
      <c r="AK54" s="55" t="str">
        <f>IF(AND('Mapa Instituc Corrupc 2023'!$Y$61="Muy Baja",'Mapa Instituc Corrupc 2023'!$AA$61="Catastrófico"),CONCATENATE("R9C",'Mapa Instituc Corrupc 2023'!$O$61),"")</f>
        <v/>
      </c>
      <c r="AL54" s="55" t="str">
        <f>IF(AND('Mapa Instituc Corrupc 2023'!$Y$62="Muy Baja",'Mapa Instituc Corrupc 2023'!$AA$62="Catastrófico"),CONCATENATE("R9C",'Mapa Instituc Corrupc 2023'!$O$62),"")</f>
        <v/>
      </c>
      <c r="AM54" s="56" t="str">
        <f>IF(AND('Mapa Instituc Corrupc 2023'!$Y$63="Muy Baja",'Mapa Instituc Corrupc 2023'!$AA$63="Catastrófico"),CONCATENATE("R9C",'Mapa Instituc Corrupc 2023'!$O$63),"")</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380"/>
      <c r="C55" s="380"/>
      <c r="D55" s="381"/>
      <c r="E55" s="483"/>
      <c r="F55" s="484"/>
      <c r="G55" s="484"/>
      <c r="H55" s="484"/>
      <c r="I55" s="498"/>
      <c r="J55" s="79" t="str">
        <f>IF(AND('Mapa Instituc Corrupc 2023'!$Y$64="Muy Baja",'Mapa Instituc Corrupc 2023'!$AA$64="Leve"),CONCATENATE("R10C",'Mapa Instituc Corrupc 2023'!$O$64),"")</f>
        <v/>
      </c>
      <c r="K55" s="80" t="str">
        <f>IF(AND('Mapa Instituc Corrupc 2023'!$Y$65="Muy Baja",'Mapa Instituc Corrupc 2023'!$AA$65="Leve"),CONCATENATE("R10C",'Mapa Instituc Corrupc 2023'!$O$65),"")</f>
        <v/>
      </c>
      <c r="L55" s="80" t="str">
        <f>IF(AND('Mapa Instituc Corrupc 2023'!$Y$66="Muy Baja",'Mapa Instituc Corrupc 2023'!$AA$66="Leve"),CONCATENATE("R10C",'Mapa Instituc Corrupc 2023'!$O$66),"")</f>
        <v/>
      </c>
      <c r="M55" s="80" t="str">
        <f>IF(AND('Mapa Instituc Corrupc 2023'!$Y$67="Muy Baja",'Mapa Instituc Corrupc 2023'!$AA$67="Leve"),CONCATENATE("R10C",'Mapa Instituc Corrupc 2023'!$O$67),"")</f>
        <v/>
      </c>
      <c r="N55" s="80" t="str">
        <f>IF(AND('Mapa Instituc Corrupc 2023'!$Y$68="Muy Baja",'Mapa Instituc Corrupc 2023'!$AA$68="Leve"),CONCATENATE("R10C",'Mapa Instituc Corrupc 2023'!$O$68),"")</f>
        <v/>
      </c>
      <c r="O55" s="81" t="str">
        <f>IF(AND('Mapa Instituc Corrupc 2023'!$Y$69="Muy Baja",'Mapa Instituc Corrupc 2023'!$AA$69="Leve"),CONCATENATE("R10C",'Mapa Instituc Corrupc 2023'!$O$69),"")</f>
        <v/>
      </c>
      <c r="P55" s="79" t="str">
        <f>IF(AND('Mapa Instituc Corrupc 2023'!$Y$64="Muy Baja",'Mapa Instituc Corrupc 2023'!$AA$64="Menor"),CONCATENATE("R10C",'Mapa Instituc Corrupc 2023'!$O$64),"")</f>
        <v/>
      </c>
      <c r="Q55" s="80" t="str">
        <f>IF(AND('Mapa Instituc Corrupc 2023'!$Y$65="Muy Baja",'Mapa Instituc Corrupc 2023'!$AA$65="Menor"),CONCATENATE("R10C",'Mapa Instituc Corrupc 2023'!$O$65),"")</f>
        <v/>
      </c>
      <c r="R55" s="80" t="str">
        <f>IF(AND('Mapa Instituc Corrupc 2023'!$Y$66="Muy Baja",'Mapa Instituc Corrupc 2023'!$AA$66="Menor"),CONCATENATE("R10C",'Mapa Instituc Corrupc 2023'!$O$66),"")</f>
        <v/>
      </c>
      <c r="S55" s="80" t="str">
        <f>IF(AND('Mapa Instituc Corrupc 2023'!$Y$67="Muy Baja",'Mapa Instituc Corrupc 2023'!$AA$67="Menor"),CONCATENATE("R10C",'Mapa Instituc Corrupc 2023'!$O$67),"")</f>
        <v/>
      </c>
      <c r="T55" s="80" t="str">
        <f>IF(AND('Mapa Instituc Corrupc 2023'!$Y$68="Muy Baja",'Mapa Instituc Corrupc 2023'!$AA$68="Menor"),CONCATENATE("R10C",'Mapa Instituc Corrupc 2023'!$O$68),"")</f>
        <v/>
      </c>
      <c r="U55" s="81" t="str">
        <f>IF(AND('Mapa Instituc Corrupc 2023'!$Y$69="Muy Baja",'Mapa Instituc Corrupc 2023'!$AA$69="Menor"),CONCATENATE("R10C",'Mapa Instituc Corrupc 2023'!$O$69),"")</f>
        <v/>
      </c>
      <c r="V55" s="70" t="str">
        <f>IF(AND('Mapa Instituc Corrupc 2023'!$Y$64="Muy Baja",'Mapa Instituc Corrupc 2023'!$AA$64="Moderado"),CONCATENATE("R10C",'Mapa Instituc Corrupc 2023'!$O$64),"")</f>
        <v/>
      </c>
      <c r="W55" s="71" t="str">
        <f>IF(AND('Mapa Instituc Corrupc 2023'!$Y$65="Muy Baja",'Mapa Instituc Corrupc 2023'!$AA$65="Moderado"),CONCATENATE("R10C",'Mapa Instituc Corrupc 2023'!$O$65),"")</f>
        <v/>
      </c>
      <c r="X55" s="71" t="str">
        <f>IF(AND('Mapa Instituc Corrupc 2023'!$Y$66="Muy Baja",'Mapa Instituc Corrupc 2023'!$AA$66="Moderado"),CONCATENATE("R10C",'Mapa Instituc Corrupc 2023'!$O$66),"")</f>
        <v/>
      </c>
      <c r="Y55" s="71" t="str">
        <f>IF(AND('Mapa Instituc Corrupc 2023'!$Y$67="Muy Baja",'Mapa Instituc Corrupc 2023'!$AA$67="Moderado"),CONCATENATE("R10C",'Mapa Instituc Corrupc 2023'!$O$67),"")</f>
        <v/>
      </c>
      <c r="Z55" s="71" t="str">
        <f>IF(AND('Mapa Instituc Corrupc 2023'!$Y$68="Muy Baja",'Mapa Instituc Corrupc 2023'!$AA$68="Moderado"),CONCATENATE("R10C",'Mapa Instituc Corrupc 2023'!$O$68),"")</f>
        <v/>
      </c>
      <c r="AA55" s="72" t="str">
        <f>IF(AND('Mapa Instituc Corrupc 2023'!$Y$69="Muy Baja",'Mapa Instituc Corrupc 2023'!$AA$69="Moderado"),CONCATENATE("R10C",'Mapa Instituc Corrupc 2023'!$O$69),"")</f>
        <v/>
      </c>
      <c r="AB55" s="58" t="str">
        <f>IF(AND('Mapa Instituc Corrupc 2023'!$Y$64="Muy Baja",'Mapa Instituc Corrupc 2023'!$AA$64="Mayor"),CONCATENATE("R10C",'Mapa Instituc Corrupc 2023'!$O$64),"")</f>
        <v/>
      </c>
      <c r="AC55" s="59" t="str">
        <f>IF(AND('Mapa Instituc Corrupc 2023'!$Y$65="Muy Baja",'Mapa Instituc Corrupc 2023'!$AA$65="Mayor"),CONCATENATE("R10C",'Mapa Instituc Corrupc 2023'!$O$65),"")</f>
        <v/>
      </c>
      <c r="AD55" s="59" t="str">
        <f>IF(AND('Mapa Instituc Corrupc 2023'!$Y$66="Muy Baja",'Mapa Instituc Corrupc 2023'!$AA$66="Mayor"),CONCATENATE("R10C",'Mapa Instituc Corrupc 2023'!$O$66),"")</f>
        <v/>
      </c>
      <c r="AE55" s="59" t="str">
        <f>IF(AND('Mapa Instituc Corrupc 2023'!$Y$67="Muy Baja",'Mapa Instituc Corrupc 2023'!$AA$67="Mayor"),CONCATENATE("R10C",'Mapa Instituc Corrupc 2023'!$O$67),"")</f>
        <v/>
      </c>
      <c r="AF55" s="59" t="str">
        <f>IF(AND('Mapa Instituc Corrupc 2023'!$Y$68="Muy Baja",'Mapa Instituc Corrupc 2023'!$AA$68="Mayor"),CONCATENATE("R10C",'Mapa Instituc Corrupc 2023'!$O$68),"")</f>
        <v/>
      </c>
      <c r="AG55" s="60" t="str">
        <f>IF(AND('Mapa Instituc Corrupc 2023'!$Y$69="Muy Baja",'Mapa Instituc Corrupc 2023'!$AA$69="Mayor"),CONCATENATE("R10C",'Mapa Instituc Corrupc 2023'!$O$69),"")</f>
        <v/>
      </c>
      <c r="AH55" s="61" t="str">
        <f>IF(AND('Mapa Instituc Corrupc 2023'!$Y$64="Muy Baja",'Mapa Instituc Corrupc 2023'!$AA$64="Catastrófico"),CONCATENATE("R10C",'Mapa Instituc Corrupc 2023'!$O$64),"")</f>
        <v/>
      </c>
      <c r="AI55" s="62" t="str">
        <f>IF(AND('Mapa Instituc Corrupc 2023'!$Y$65="Muy Baja",'Mapa Instituc Corrupc 2023'!$AA$65="Catastrófico"),CONCATENATE("R10C",'Mapa Instituc Corrupc 2023'!$O$65),"")</f>
        <v/>
      </c>
      <c r="AJ55" s="62" t="str">
        <f>IF(AND('Mapa Instituc Corrupc 2023'!$Y$66="Muy Baja",'Mapa Instituc Corrupc 2023'!$AA$66="Catastrófico"),CONCATENATE("R10C",'Mapa Instituc Corrupc 2023'!$O$66),"")</f>
        <v/>
      </c>
      <c r="AK55" s="62" t="str">
        <f>IF(AND('Mapa Instituc Corrupc 2023'!$Y$67="Muy Baja",'Mapa Instituc Corrupc 2023'!$AA$67="Catastrófico"),CONCATENATE("R10C",'Mapa Instituc Corrupc 2023'!$O$67),"")</f>
        <v/>
      </c>
      <c r="AL55" s="62" t="str">
        <f>IF(AND('Mapa Instituc Corrupc 2023'!$Y$68="Muy Baja",'Mapa Instituc Corrupc 2023'!$AA$68="Catastrófico"),CONCATENATE("R10C",'Mapa Instituc Corrupc 2023'!$O$68),"")</f>
        <v/>
      </c>
      <c r="AM55" s="63" t="str">
        <f>IF(AND('Mapa Instituc Corrupc 2023'!$Y$69="Muy Baja",'Mapa Instituc Corrupc 2023'!$AA$69="Catastrófico"),CONCATENATE("R10C",'Mapa Instituc Corrupc 2023'!$O$69),"")</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477" t="s">
        <v>112</v>
      </c>
      <c r="K56" s="478"/>
      <c r="L56" s="478"/>
      <c r="M56" s="478"/>
      <c r="N56" s="478"/>
      <c r="O56" s="496"/>
      <c r="P56" s="477" t="s">
        <v>111</v>
      </c>
      <c r="Q56" s="478"/>
      <c r="R56" s="478"/>
      <c r="S56" s="478"/>
      <c r="T56" s="478"/>
      <c r="U56" s="496"/>
      <c r="V56" s="477" t="s">
        <v>110</v>
      </c>
      <c r="W56" s="478"/>
      <c r="X56" s="478"/>
      <c r="Y56" s="478"/>
      <c r="Z56" s="478"/>
      <c r="AA56" s="496"/>
      <c r="AB56" s="477" t="s">
        <v>109</v>
      </c>
      <c r="AC56" s="517"/>
      <c r="AD56" s="478"/>
      <c r="AE56" s="478"/>
      <c r="AF56" s="478"/>
      <c r="AG56" s="496"/>
      <c r="AH56" s="477" t="s">
        <v>108</v>
      </c>
      <c r="AI56" s="478"/>
      <c r="AJ56" s="478"/>
      <c r="AK56" s="478"/>
      <c r="AL56" s="478"/>
      <c r="AM56" s="496"/>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481"/>
      <c r="K57" s="482"/>
      <c r="L57" s="482"/>
      <c r="M57" s="482"/>
      <c r="N57" s="482"/>
      <c r="O57" s="497"/>
      <c r="P57" s="481"/>
      <c r="Q57" s="482"/>
      <c r="R57" s="482"/>
      <c r="S57" s="482"/>
      <c r="T57" s="482"/>
      <c r="U57" s="497"/>
      <c r="V57" s="481"/>
      <c r="W57" s="482"/>
      <c r="X57" s="482"/>
      <c r="Y57" s="482"/>
      <c r="Z57" s="482"/>
      <c r="AA57" s="497"/>
      <c r="AB57" s="481"/>
      <c r="AC57" s="482"/>
      <c r="AD57" s="482"/>
      <c r="AE57" s="482"/>
      <c r="AF57" s="482"/>
      <c r="AG57" s="497"/>
      <c r="AH57" s="481"/>
      <c r="AI57" s="482"/>
      <c r="AJ57" s="482"/>
      <c r="AK57" s="482"/>
      <c r="AL57" s="482"/>
      <c r="AM57" s="497"/>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481"/>
      <c r="K58" s="482"/>
      <c r="L58" s="482"/>
      <c r="M58" s="482"/>
      <c r="N58" s="482"/>
      <c r="O58" s="497"/>
      <c r="P58" s="481"/>
      <c r="Q58" s="482"/>
      <c r="R58" s="482"/>
      <c r="S58" s="482"/>
      <c r="T58" s="482"/>
      <c r="U58" s="497"/>
      <c r="V58" s="481"/>
      <c r="W58" s="482"/>
      <c r="X58" s="482"/>
      <c r="Y58" s="482"/>
      <c r="Z58" s="482"/>
      <c r="AA58" s="497"/>
      <c r="AB58" s="481"/>
      <c r="AC58" s="482"/>
      <c r="AD58" s="482"/>
      <c r="AE58" s="482"/>
      <c r="AF58" s="482"/>
      <c r="AG58" s="497"/>
      <c r="AH58" s="481"/>
      <c r="AI58" s="482"/>
      <c r="AJ58" s="482"/>
      <c r="AK58" s="482"/>
      <c r="AL58" s="482"/>
      <c r="AM58" s="497"/>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481"/>
      <c r="K59" s="482"/>
      <c r="L59" s="482"/>
      <c r="M59" s="482"/>
      <c r="N59" s="482"/>
      <c r="O59" s="497"/>
      <c r="P59" s="481"/>
      <c r="Q59" s="482"/>
      <c r="R59" s="482"/>
      <c r="S59" s="482"/>
      <c r="T59" s="482"/>
      <c r="U59" s="497"/>
      <c r="V59" s="481"/>
      <c r="W59" s="482"/>
      <c r="X59" s="482"/>
      <c r="Y59" s="482"/>
      <c r="Z59" s="482"/>
      <c r="AA59" s="497"/>
      <c r="AB59" s="481"/>
      <c r="AC59" s="482"/>
      <c r="AD59" s="482"/>
      <c r="AE59" s="482"/>
      <c r="AF59" s="482"/>
      <c r="AG59" s="497"/>
      <c r="AH59" s="481"/>
      <c r="AI59" s="482"/>
      <c r="AJ59" s="482"/>
      <c r="AK59" s="482"/>
      <c r="AL59" s="482"/>
      <c r="AM59" s="497"/>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481"/>
      <c r="K60" s="482"/>
      <c r="L60" s="482"/>
      <c r="M60" s="482"/>
      <c r="N60" s="482"/>
      <c r="O60" s="497"/>
      <c r="P60" s="481"/>
      <c r="Q60" s="482"/>
      <c r="R60" s="482"/>
      <c r="S60" s="482"/>
      <c r="T60" s="482"/>
      <c r="U60" s="497"/>
      <c r="V60" s="481"/>
      <c r="W60" s="482"/>
      <c r="X60" s="482"/>
      <c r="Y60" s="482"/>
      <c r="Z60" s="482"/>
      <c r="AA60" s="497"/>
      <c r="AB60" s="481"/>
      <c r="AC60" s="482"/>
      <c r="AD60" s="482"/>
      <c r="AE60" s="482"/>
      <c r="AF60" s="482"/>
      <c r="AG60" s="497"/>
      <c r="AH60" s="481"/>
      <c r="AI60" s="482"/>
      <c r="AJ60" s="482"/>
      <c r="AK60" s="482"/>
      <c r="AL60" s="482"/>
      <c r="AM60" s="497"/>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483"/>
      <c r="K61" s="484"/>
      <c r="L61" s="484"/>
      <c r="M61" s="484"/>
      <c r="N61" s="484"/>
      <c r="O61" s="498"/>
      <c r="P61" s="483"/>
      <c r="Q61" s="484"/>
      <c r="R61" s="484"/>
      <c r="S61" s="484"/>
      <c r="T61" s="484"/>
      <c r="U61" s="498"/>
      <c r="V61" s="483"/>
      <c r="W61" s="484"/>
      <c r="X61" s="484"/>
      <c r="Y61" s="484"/>
      <c r="Z61" s="484"/>
      <c r="AA61" s="498"/>
      <c r="AB61" s="483"/>
      <c r="AC61" s="484"/>
      <c r="AD61" s="484"/>
      <c r="AE61" s="484"/>
      <c r="AF61" s="484"/>
      <c r="AG61" s="498"/>
      <c r="AH61" s="483"/>
      <c r="AI61" s="484"/>
      <c r="AJ61" s="484"/>
      <c r="AK61" s="484"/>
      <c r="AL61" s="484"/>
      <c r="AM61" s="498"/>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P13" sqref="P13:Q13"/>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518" t="s">
        <v>55</v>
      </c>
      <c r="C1" s="518"/>
      <c r="D1" s="518"/>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1" sqref="B1:D1"/>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19" t="s">
        <v>63</v>
      </c>
      <c r="C1" s="519"/>
      <c r="D1" s="519"/>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5" t="s">
        <v>56</v>
      </c>
      <c r="D3" s="35" t="s">
        <v>57</v>
      </c>
      <c r="E3" s="83"/>
      <c r="F3" s="83"/>
      <c r="G3" s="83"/>
      <c r="H3" s="83"/>
      <c r="I3" s="83"/>
      <c r="J3" s="83"/>
      <c r="K3" s="83"/>
      <c r="L3" s="83"/>
      <c r="M3" s="83"/>
      <c r="N3" s="83"/>
      <c r="O3" s="83"/>
      <c r="P3" s="83"/>
      <c r="Q3" s="83"/>
      <c r="R3" s="83"/>
      <c r="S3" s="83"/>
      <c r="T3" s="83"/>
      <c r="U3" s="83"/>
    </row>
    <row r="4" spans="1:21" ht="33.75" x14ac:dyDescent="0.25">
      <c r="A4" s="103" t="s">
        <v>83</v>
      </c>
      <c r="B4" s="38" t="s">
        <v>101</v>
      </c>
      <c r="C4" s="43" t="s">
        <v>156</v>
      </c>
      <c r="D4" s="36" t="s">
        <v>97</v>
      </c>
      <c r="E4" s="83"/>
      <c r="F4" s="83"/>
      <c r="G4" s="83"/>
      <c r="H4" s="83"/>
      <c r="I4" s="83"/>
      <c r="J4" s="83"/>
      <c r="K4" s="83"/>
      <c r="L4" s="83"/>
      <c r="M4" s="83"/>
      <c r="N4" s="83"/>
      <c r="O4" s="83"/>
      <c r="P4" s="83"/>
      <c r="Q4" s="83"/>
      <c r="R4" s="83"/>
      <c r="S4" s="83"/>
      <c r="T4" s="83"/>
      <c r="U4" s="83"/>
    </row>
    <row r="5" spans="1:21" ht="67.5" x14ac:dyDescent="0.25">
      <c r="A5" s="103" t="s">
        <v>84</v>
      </c>
      <c r="B5" s="39" t="s">
        <v>59</v>
      </c>
      <c r="C5" s="44" t="s">
        <v>93</v>
      </c>
      <c r="D5" s="37" t="s">
        <v>98</v>
      </c>
      <c r="E5" s="83"/>
      <c r="F5" s="83"/>
      <c r="G5" s="83"/>
      <c r="H5" s="83"/>
      <c r="I5" s="83"/>
      <c r="J5" s="83"/>
      <c r="K5" s="83"/>
      <c r="L5" s="83"/>
      <c r="M5" s="83"/>
      <c r="N5" s="83"/>
      <c r="O5" s="83"/>
      <c r="P5" s="83"/>
      <c r="Q5" s="83"/>
      <c r="R5" s="83"/>
      <c r="S5" s="83"/>
      <c r="T5" s="83"/>
      <c r="U5" s="83"/>
    </row>
    <row r="6" spans="1:21" ht="67.5" x14ac:dyDescent="0.25">
      <c r="A6" s="103" t="s">
        <v>81</v>
      </c>
      <c r="B6" s="40" t="s">
        <v>60</v>
      </c>
      <c r="C6" s="44" t="s">
        <v>94</v>
      </c>
      <c r="D6" s="37" t="s">
        <v>100</v>
      </c>
      <c r="E6" s="83"/>
      <c r="F6" s="83"/>
      <c r="G6" s="83"/>
      <c r="H6" s="83"/>
      <c r="I6" s="83"/>
      <c r="J6" s="83"/>
      <c r="K6" s="83"/>
      <c r="L6" s="83"/>
      <c r="M6" s="83"/>
      <c r="N6" s="83"/>
      <c r="O6" s="83"/>
      <c r="P6" s="83"/>
      <c r="Q6" s="83"/>
      <c r="R6" s="83"/>
      <c r="S6" s="83"/>
      <c r="T6" s="83"/>
      <c r="U6" s="83"/>
    </row>
    <row r="7" spans="1:21" ht="101.25" x14ac:dyDescent="0.25">
      <c r="A7" s="103" t="s">
        <v>7</v>
      </c>
      <c r="B7" s="41" t="s">
        <v>61</v>
      </c>
      <c r="C7" s="44" t="s">
        <v>95</v>
      </c>
      <c r="D7" s="37" t="s">
        <v>99</v>
      </c>
      <c r="E7" s="83"/>
      <c r="F7" s="83"/>
      <c r="G7" s="83"/>
      <c r="H7" s="83"/>
      <c r="I7" s="83"/>
      <c r="J7" s="83"/>
      <c r="K7" s="83"/>
      <c r="L7" s="83"/>
      <c r="M7" s="83"/>
      <c r="N7" s="83"/>
      <c r="O7" s="83"/>
      <c r="P7" s="83"/>
      <c r="Q7" s="83"/>
      <c r="R7" s="83"/>
      <c r="S7" s="83"/>
      <c r="T7" s="83"/>
      <c r="U7" s="83"/>
    </row>
    <row r="8" spans="1:21" ht="67.5" x14ac:dyDescent="0.25">
      <c r="A8" s="103" t="s">
        <v>85</v>
      </c>
      <c r="B8" s="42" t="s">
        <v>62</v>
      </c>
      <c r="C8" s="44" t="s">
        <v>96</v>
      </c>
      <c r="D8" s="37"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144</v>
      </c>
      <c r="D11" s="103" t="s">
        <v>151</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148</v>
      </c>
      <c r="D12" s="103" t="s">
        <v>152</v>
      </c>
      <c r="E12" s="83"/>
      <c r="F12" s="83"/>
      <c r="G12" s="83"/>
      <c r="H12" s="83"/>
      <c r="I12" s="83"/>
      <c r="J12" s="83"/>
      <c r="K12" s="83"/>
      <c r="L12" s="83"/>
      <c r="M12" s="83"/>
      <c r="N12" s="83"/>
      <c r="O12" s="83"/>
      <c r="P12" s="83"/>
      <c r="Q12" s="83"/>
      <c r="R12" s="83"/>
      <c r="S12" s="83"/>
      <c r="T12" s="83"/>
      <c r="U12" s="83"/>
    </row>
    <row r="13" spans="1:21" x14ac:dyDescent="0.25">
      <c r="A13" s="103"/>
      <c r="B13" s="103"/>
      <c r="C13" s="103" t="s">
        <v>147</v>
      </c>
      <c r="D13" s="103" t="s">
        <v>153</v>
      </c>
      <c r="E13" s="83"/>
      <c r="F13" s="83"/>
      <c r="G13" s="83"/>
      <c r="H13" s="83"/>
      <c r="I13" s="83"/>
      <c r="J13" s="83"/>
      <c r="K13" s="83"/>
      <c r="L13" s="83"/>
      <c r="M13" s="83"/>
      <c r="N13" s="83"/>
      <c r="O13" s="83"/>
      <c r="P13" s="83"/>
      <c r="Q13" s="83"/>
      <c r="R13" s="83"/>
      <c r="S13" s="83"/>
      <c r="T13" s="83"/>
      <c r="U13" s="83"/>
    </row>
    <row r="14" spans="1:21" x14ac:dyDescent="0.25">
      <c r="A14" s="103"/>
      <c r="B14" s="103"/>
      <c r="C14" s="103" t="s">
        <v>149</v>
      </c>
      <c r="D14" s="103" t="s">
        <v>154</v>
      </c>
      <c r="E14" s="83"/>
      <c r="F14" s="83"/>
      <c r="G14" s="83"/>
      <c r="H14" s="83"/>
      <c r="I14" s="83"/>
      <c r="J14" s="83"/>
      <c r="K14" s="83"/>
      <c r="L14" s="83"/>
      <c r="M14" s="83"/>
      <c r="N14" s="83"/>
      <c r="O14" s="83"/>
      <c r="P14" s="83"/>
      <c r="Q14" s="83"/>
      <c r="R14" s="83"/>
      <c r="S14" s="83"/>
      <c r="T14" s="83"/>
      <c r="U14" s="83"/>
    </row>
    <row r="15" spans="1:21" x14ac:dyDescent="0.25">
      <c r="A15" s="103"/>
      <c r="B15" s="103"/>
      <c r="C15" s="103" t="s">
        <v>150</v>
      </c>
      <c r="D15" s="103" t="s">
        <v>155</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3"/>
      <c r="D52" s="33"/>
    </row>
    <row r="53" spans="1:15" ht="20.25" x14ac:dyDescent="0.25">
      <c r="A53" s="103"/>
      <c r="B53" s="23"/>
      <c r="C53" s="33"/>
      <c r="D53" s="33"/>
    </row>
    <row r="54" spans="1:15" ht="20.25" x14ac:dyDescent="0.25">
      <c r="A54" s="103"/>
      <c r="B54" s="23"/>
      <c r="C54" s="33"/>
      <c r="D54" s="33"/>
    </row>
    <row r="55" spans="1:15" ht="20.25" x14ac:dyDescent="0.25">
      <c r="A55" s="103"/>
      <c r="B55" s="23"/>
      <c r="C55" s="33"/>
      <c r="D55" s="33"/>
    </row>
    <row r="56" spans="1:15" ht="20.25" x14ac:dyDescent="0.25">
      <c r="A56" s="103"/>
      <c r="B56" s="23"/>
      <c r="C56" s="33"/>
      <c r="D56" s="33"/>
    </row>
    <row r="57" spans="1:15" ht="20.25" x14ac:dyDescent="0.25">
      <c r="A57" s="103"/>
      <c r="B57" s="23"/>
      <c r="C57" s="33"/>
      <c r="D57" s="33"/>
    </row>
    <row r="58" spans="1:15" ht="20.25" x14ac:dyDescent="0.25">
      <c r="A58" s="103"/>
      <c r="B58" s="23"/>
      <c r="C58" s="33"/>
      <c r="D58" s="33"/>
    </row>
    <row r="59" spans="1:15" ht="20.25" x14ac:dyDescent="0.25">
      <c r="A59" s="103"/>
      <c r="B59" s="23"/>
      <c r="C59" s="33"/>
      <c r="D59" s="33"/>
    </row>
    <row r="60" spans="1:15" ht="20.25" x14ac:dyDescent="0.25">
      <c r="A60" s="103"/>
      <c r="B60" s="23"/>
      <c r="C60" s="33"/>
      <c r="D60" s="33"/>
    </row>
    <row r="61" spans="1:15" ht="20.25" x14ac:dyDescent="0.25">
      <c r="A61" s="103"/>
      <c r="B61" s="23"/>
      <c r="C61" s="33"/>
      <c r="D61" s="33"/>
    </row>
    <row r="62" spans="1:15" ht="20.25" x14ac:dyDescent="0.25">
      <c r="A62" s="103"/>
      <c r="B62" s="23"/>
      <c r="C62" s="33"/>
      <c r="D62" s="33"/>
    </row>
    <row r="63" spans="1:15" ht="20.25" x14ac:dyDescent="0.25">
      <c r="A63" s="103"/>
      <c r="B63" s="23"/>
      <c r="C63" s="33"/>
      <c r="D63" s="33"/>
    </row>
    <row r="64" spans="1:15" ht="20.25" x14ac:dyDescent="0.25">
      <c r="A64" s="103"/>
      <c r="B64" s="23"/>
      <c r="C64" s="33"/>
      <c r="D64" s="33"/>
    </row>
    <row r="65" spans="1:4" ht="20.25" x14ac:dyDescent="0.25">
      <c r="A65" s="103"/>
      <c r="B65" s="23"/>
      <c r="C65" s="33"/>
      <c r="D65" s="33"/>
    </row>
    <row r="66" spans="1:4" ht="20.25" x14ac:dyDescent="0.25">
      <c r="A66" s="103"/>
      <c r="B66" s="23"/>
      <c r="C66" s="33"/>
      <c r="D66" s="33"/>
    </row>
    <row r="67" spans="1:4" ht="20.25" x14ac:dyDescent="0.25">
      <c r="A67" s="103"/>
      <c r="B67" s="23"/>
      <c r="C67" s="33"/>
      <c r="D67" s="33"/>
    </row>
    <row r="68" spans="1:4" ht="20.25" x14ac:dyDescent="0.25">
      <c r="A68" s="103"/>
      <c r="B68" s="23"/>
      <c r="C68" s="33"/>
      <c r="D68" s="33"/>
    </row>
    <row r="69" spans="1:4" ht="20.25" x14ac:dyDescent="0.25">
      <c r="A69" s="103"/>
      <c r="B69" s="23"/>
      <c r="C69" s="33"/>
      <c r="D69" s="33"/>
    </row>
    <row r="70" spans="1:4" ht="20.25" x14ac:dyDescent="0.25">
      <c r="A70" s="103"/>
      <c r="B70" s="23"/>
      <c r="C70" s="33"/>
      <c r="D70" s="33"/>
    </row>
    <row r="71" spans="1:4" ht="20.25" x14ac:dyDescent="0.25">
      <c r="A71" s="103"/>
      <c r="B71" s="23"/>
      <c r="C71" s="33"/>
      <c r="D71" s="33"/>
    </row>
    <row r="72" spans="1:4" ht="20.25" x14ac:dyDescent="0.25">
      <c r="A72" s="103"/>
      <c r="B72" s="23"/>
      <c r="C72" s="33"/>
      <c r="D72" s="33"/>
    </row>
    <row r="73" spans="1:4" ht="20.25" x14ac:dyDescent="0.25">
      <c r="A73" s="103"/>
      <c r="B73" s="23"/>
      <c r="C73" s="33"/>
      <c r="D73" s="33"/>
    </row>
    <row r="74" spans="1:4" ht="20.25" x14ac:dyDescent="0.25">
      <c r="A74" s="103"/>
      <c r="B74" s="23"/>
      <c r="C74" s="33"/>
      <c r="D74" s="33"/>
    </row>
    <row r="75" spans="1:4" ht="20.25" x14ac:dyDescent="0.25">
      <c r="A75" s="103"/>
      <c r="B75" s="23"/>
      <c r="C75" s="33"/>
      <c r="D75" s="33"/>
    </row>
    <row r="76" spans="1:4" ht="20.25" x14ac:dyDescent="0.25">
      <c r="A76" s="103"/>
      <c r="B76" s="23"/>
      <c r="C76" s="33"/>
      <c r="D76" s="33"/>
    </row>
    <row r="77" spans="1:4" ht="20.25" x14ac:dyDescent="0.25">
      <c r="A77" s="103"/>
      <c r="B77" s="23"/>
      <c r="C77" s="33"/>
      <c r="D77" s="33"/>
    </row>
    <row r="78" spans="1:4" ht="20.25" x14ac:dyDescent="0.25">
      <c r="A78" s="103"/>
      <c r="B78" s="23"/>
      <c r="C78" s="33"/>
      <c r="D78" s="33"/>
    </row>
    <row r="79" spans="1:4" ht="20.25" x14ac:dyDescent="0.25">
      <c r="A79" s="103"/>
      <c r="B79" s="23"/>
      <c r="C79" s="33"/>
      <c r="D79" s="33"/>
    </row>
    <row r="80" spans="1:4" ht="20.25" x14ac:dyDescent="0.25">
      <c r="A80" s="103"/>
      <c r="B80" s="23"/>
      <c r="C80" s="33"/>
      <c r="D80" s="33"/>
    </row>
    <row r="81" spans="1:4" ht="20.25" x14ac:dyDescent="0.25">
      <c r="A81" s="103"/>
      <c r="B81" s="23"/>
      <c r="C81" s="33"/>
      <c r="D81" s="33"/>
    </row>
    <row r="82" spans="1:4" ht="20.25" x14ac:dyDescent="0.25">
      <c r="A82" s="103"/>
      <c r="B82" s="23"/>
      <c r="C82" s="33"/>
      <c r="D82" s="33"/>
    </row>
    <row r="83" spans="1:4" ht="20.25" x14ac:dyDescent="0.25">
      <c r="A83" s="103"/>
      <c r="B83" s="23"/>
      <c r="C83" s="33"/>
      <c r="D83" s="33"/>
    </row>
    <row r="84" spans="1:4" ht="20.25" x14ac:dyDescent="0.25">
      <c r="A84" s="103"/>
      <c r="B84" s="23"/>
      <c r="C84" s="33"/>
      <c r="D84" s="33"/>
    </row>
    <row r="85" spans="1:4" ht="20.25" x14ac:dyDescent="0.25">
      <c r="A85" s="103"/>
      <c r="B85" s="23"/>
      <c r="C85" s="33"/>
      <c r="D85" s="33"/>
    </row>
    <row r="86" spans="1:4" ht="20.25" x14ac:dyDescent="0.25">
      <c r="A86" s="103"/>
      <c r="B86" s="23"/>
      <c r="C86" s="33"/>
      <c r="D86" s="33"/>
    </row>
    <row r="87" spans="1:4" ht="20.25" x14ac:dyDescent="0.25">
      <c r="A87" s="103"/>
      <c r="B87" s="23"/>
      <c r="C87" s="33"/>
      <c r="D87" s="33"/>
    </row>
    <row r="88" spans="1:4" ht="20.25" x14ac:dyDescent="0.25">
      <c r="A88" s="103"/>
      <c r="B88" s="23"/>
      <c r="C88" s="33"/>
      <c r="D88" s="33"/>
    </row>
    <row r="89" spans="1:4" ht="20.25" x14ac:dyDescent="0.25">
      <c r="A89" s="103"/>
      <c r="B89" s="23"/>
      <c r="C89" s="33"/>
      <c r="D89" s="33"/>
    </row>
    <row r="90" spans="1:4" ht="20.25" x14ac:dyDescent="0.25">
      <c r="A90" s="103"/>
      <c r="B90" s="23"/>
      <c r="C90" s="33"/>
      <c r="D90" s="33"/>
    </row>
    <row r="91" spans="1:4" ht="20.25" x14ac:dyDescent="0.25">
      <c r="A91" s="103"/>
      <c r="B91" s="23"/>
      <c r="C91" s="33"/>
      <c r="D91" s="33"/>
    </row>
    <row r="92" spans="1:4" ht="20.25" x14ac:dyDescent="0.25">
      <c r="A92" s="103"/>
      <c r="B92" s="23"/>
      <c r="C92" s="33"/>
      <c r="D92" s="33"/>
    </row>
    <row r="93" spans="1:4" ht="20.25" x14ac:dyDescent="0.25">
      <c r="A93" s="103"/>
      <c r="B93" s="23"/>
      <c r="C93" s="33"/>
      <c r="D93" s="33"/>
    </row>
    <row r="94" spans="1:4" ht="20.25" x14ac:dyDescent="0.25">
      <c r="A94" s="103"/>
      <c r="B94" s="23"/>
      <c r="C94" s="33"/>
      <c r="D94" s="33"/>
    </row>
    <row r="95" spans="1:4" ht="20.25" x14ac:dyDescent="0.25">
      <c r="A95" s="103"/>
      <c r="B95" s="23"/>
      <c r="C95" s="33"/>
      <c r="D95" s="33"/>
    </row>
    <row r="96" spans="1:4" ht="20.25" x14ac:dyDescent="0.25">
      <c r="A96" s="103"/>
      <c r="B96" s="23"/>
      <c r="C96" s="33"/>
      <c r="D96" s="33"/>
    </row>
    <row r="97" spans="1:4" ht="20.25" x14ac:dyDescent="0.25">
      <c r="A97" s="103"/>
      <c r="B97" s="23"/>
      <c r="C97" s="33"/>
      <c r="D97" s="33"/>
    </row>
    <row r="98" spans="1:4" ht="20.25" x14ac:dyDescent="0.25">
      <c r="A98" s="103"/>
      <c r="B98" s="23"/>
      <c r="C98" s="33"/>
      <c r="D98" s="33"/>
    </row>
    <row r="99" spans="1:4" ht="20.25" x14ac:dyDescent="0.25">
      <c r="A99" s="103"/>
      <c r="B99" s="23"/>
      <c r="C99" s="33"/>
      <c r="D99" s="33"/>
    </row>
    <row r="100" spans="1:4" ht="20.25" x14ac:dyDescent="0.25">
      <c r="A100" s="103"/>
      <c r="B100" s="23"/>
      <c r="C100" s="33"/>
      <c r="D100" s="33"/>
    </row>
    <row r="101" spans="1:4" ht="20.25" x14ac:dyDescent="0.25">
      <c r="A101" s="103"/>
      <c r="B101" s="23"/>
      <c r="C101" s="33"/>
      <c r="D101" s="33"/>
    </row>
    <row r="102" spans="1:4" ht="20.25" x14ac:dyDescent="0.25">
      <c r="A102" s="103"/>
      <c r="B102" s="23"/>
      <c r="C102" s="33"/>
      <c r="D102" s="33"/>
    </row>
    <row r="103" spans="1:4" ht="20.25" x14ac:dyDescent="0.25">
      <c r="A103" s="103"/>
      <c r="B103" s="23"/>
      <c r="C103" s="33"/>
      <c r="D103" s="33"/>
    </row>
    <row r="104" spans="1:4" ht="20.25" x14ac:dyDescent="0.25">
      <c r="A104" s="103"/>
      <c r="B104" s="23"/>
      <c r="C104" s="33"/>
      <c r="D104" s="33"/>
    </row>
    <row r="105" spans="1:4" ht="20.25" x14ac:dyDescent="0.25">
      <c r="A105" s="103"/>
      <c r="B105" s="23"/>
      <c r="C105" s="33"/>
      <c r="D105" s="33"/>
    </row>
    <row r="106" spans="1:4" ht="20.25" x14ac:dyDescent="0.25">
      <c r="A106" s="103"/>
      <c r="B106" s="23"/>
      <c r="C106" s="33"/>
      <c r="D106" s="33"/>
    </row>
    <row r="107" spans="1:4" ht="20.25" x14ac:dyDescent="0.25">
      <c r="A107" s="103"/>
      <c r="B107" s="23"/>
      <c r="C107" s="33"/>
      <c r="D107" s="33"/>
    </row>
    <row r="108" spans="1:4" ht="20.25" x14ac:dyDescent="0.25">
      <c r="A108" s="103"/>
      <c r="B108" s="23"/>
      <c r="C108" s="33"/>
      <c r="D108" s="33"/>
    </row>
    <row r="109" spans="1:4" ht="20.25" x14ac:dyDescent="0.25">
      <c r="A109" s="103"/>
      <c r="B109" s="23"/>
      <c r="C109" s="33"/>
      <c r="D109" s="33"/>
    </row>
    <row r="110" spans="1:4" ht="20.25" x14ac:dyDescent="0.25">
      <c r="A110" s="103"/>
      <c r="B110" s="23"/>
      <c r="C110" s="33"/>
      <c r="D110" s="33"/>
    </row>
    <row r="111" spans="1:4" ht="20.25" x14ac:dyDescent="0.25">
      <c r="A111" s="103"/>
      <c r="B111" s="23"/>
      <c r="C111" s="33"/>
      <c r="D111" s="33"/>
    </row>
    <row r="112" spans="1:4" ht="20.25" x14ac:dyDescent="0.25">
      <c r="A112" s="103"/>
      <c r="B112" s="23"/>
      <c r="C112" s="33"/>
      <c r="D112" s="33"/>
    </row>
    <row r="113" spans="1:4" ht="20.25" x14ac:dyDescent="0.25">
      <c r="A113" s="103"/>
      <c r="B113" s="23"/>
      <c r="C113" s="33"/>
      <c r="D113" s="33"/>
    </row>
    <row r="114" spans="1:4" ht="20.25" x14ac:dyDescent="0.25">
      <c r="A114" s="103"/>
      <c r="B114" s="23"/>
      <c r="C114" s="33"/>
      <c r="D114" s="33"/>
    </row>
    <row r="115" spans="1:4" ht="20.25" x14ac:dyDescent="0.25">
      <c r="A115" s="103"/>
      <c r="B115" s="23"/>
      <c r="C115" s="33"/>
      <c r="D115" s="33"/>
    </row>
    <row r="116" spans="1:4" ht="20.25" x14ac:dyDescent="0.25">
      <c r="A116" s="103"/>
      <c r="B116" s="23"/>
      <c r="C116" s="33"/>
      <c r="D116" s="33"/>
    </row>
    <row r="117" spans="1:4" ht="20.25" x14ac:dyDescent="0.25">
      <c r="A117" s="103"/>
      <c r="B117" s="23"/>
      <c r="C117" s="33"/>
      <c r="D117" s="33"/>
    </row>
    <row r="118" spans="1:4" ht="20.25" x14ac:dyDescent="0.25">
      <c r="A118" s="103"/>
      <c r="B118" s="23"/>
      <c r="C118" s="33"/>
      <c r="D118" s="33"/>
    </row>
    <row r="119" spans="1:4" ht="20.25" x14ac:dyDescent="0.25">
      <c r="A119" s="103"/>
      <c r="B119" s="23"/>
      <c r="C119" s="33"/>
      <c r="D119" s="33"/>
    </row>
    <row r="120" spans="1:4" ht="20.25" x14ac:dyDescent="0.25">
      <c r="A120" s="103"/>
      <c r="B120" s="23"/>
      <c r="C120" s="33"/>
      <c r="D120" s="33"/>
    </row>
    <row r="121" spans="1:4" ht="20.25" x14ac:dyDescent="0.25">
      <c r="A121" s="103"/>
      <c r="B121" s="23"/>
      <c r="C121" s="33"/>
      <c r="D121" s="33"/>
    </row>
    <row r="122" spans="1:4" ht="20.25" x14ac:dyDescent="0.25">
      <c r="A122" s="103"/>
      <c r="B122" s="23"/>
      <c r="C122" s="33"/>
      <c r="D122" s="33"/>
    </row>
    <row r="123" spans="1:4" ht="20.25" x14ac:dyDescent="0.25">
      <c r="A123" s="103"/>
      <c r="B123" s="23"/>
      <c r="C123" s="33"/>
      <c r="D123" s="33"/>
    </row>
    <row r="124" spans="1:4" ht="20.25" x14ac:dyDescent="0.25">
      <c r="A124" s="103"/>
      <c r="B124" s="23"/>
      <c r="C124" s="33"/>
      <c r="D124" s="33"/>
    </row>
    <row r="125" spans="1:4" ht="20.25" x14ac:dyDescent="0.25">
      <c r="A125" s="103"/>
      <c r="B125" s="23"/>
      <c r="C125" s="33"/>
      <c r="D125" s="33"/>
    </row>
    <row r="126" spans="1:4" ht="20.25" x14ac:dyDescent="0.25">
      <c r="A126" s="103"/>
      <c r="B126" s="23"/>
      <c r="C126" s="33"/>
      <c r="D126" s="33"/>
    </row>
    <row r="127" spans="1:4" ht="20.25" x14ac:dyDescent="0.25">
      <c r="A127" s="103"/>
      <c r="B127" s="23"/>
      <c r="C127" s="33"/>
      <c r="D127" s="33"/>
    </row>
    <row r="128" spans="1:4" ht="20.25" x14ac:dyDescent="0.25">
      <c r="A128" s="103"/>
      <c r="B128" s="23"/>
      <c r="C128" s="33"/>
      <c r="D128" s="33"/>
    </row>
    <row r="129" spans="1:4" ht="20.25" x14ac:dyDescent="0.25">
      <c r="A129" s="103"/>
      <c r="B129" s="23"/>
      <c r="C129" s="33"/>
      <c r="D129" s="33"/>
    </row>
    <row r="130" spans="1:4" ht="20.25" x14ac:dyDescent="0.25">
      <c r="A130" s="103"/>
      <c r="B130" s="23"/>
      <c r="C130" s="33"/>
      <c r="D130" s="33"/>
    </row>
    <row r="131" spans="1:4" ht="20.25" x14ac:dyDescent="0.25">
      <c r="A131" s="103"/>
      <c r="B131" s="23"/>
      <c r="C131" s="33"/>
      <c r="D131" s="33"/>
    </row>
    <row r="132" spans="1:4" ht="20.25" x14ac:dyDescent="0.25">
      <c r="A132" s="103"/>
      <c r="B132" s="23"/>
      <c r="C132" s="33"/>
      <c r="D132" s="33"/>
    </row>
    <row r="133" spans="1:4" ht="20.25" x14ac:dyDescent="0.25">
      <c r="A133" s="103"/>
      <c r="B133" s="23"/>
      <c r="C133" s="33"/>
      <c r="D133" s="33"/>
    </row>
    <row r="134" spans="1:4" ht="20.25" x14ac:dyDescent="0.25">
      <c r="A134" s="103"/>
      <c r="B134" s="23"/>
      <c r="C134" s="33"/>
      <c r="D134" s="33"/>
    </row>
    <row r="135" spans="1:4" ht="20.25" x14ac:dyDescent="0.25">
      <c r="A135" s="103"/>
      <c r="B135" s="23"/>
      <c r="C135" s="33"/>
      <c r="D135" s="33"/>
    </row>
    <row r="136" spans="1:4" ht="20.25" x14ac:dyDescent="0.25">
      <c r="A136" s="103"/>
      <c r="B136" s="23"/>
      <c r="C136" s="33"/>
      <c r="D136" s="33"/>
    </row>
    <row r="137" spans="1:4" ht="20.25" x14ac:dyDescent="0.25">
      <c r="A137" s="103"/>
      <c r="B137" s="23"/>
      <c r="C137" s="33"/>
      <c r="D137" s="33"/>
    </row>
    <row r="138" spans="1:4" ht="20.25" x14ac:dyDescent="0.25">
      <c r="A138" s="103"/>
      <c r="B138" s="23"/>
      <c r="C138" s="33"/>
      <c r="D138" s="33"/>
    </row>
    <row r="139" spans="1:4" ht="20.25" x14ac:dyDescent="0.25">
      <c r="A139" s="103"/>
      <c r="B139" s="23"/>
      <c r="C139" s="33"/>
      <c r="D139" s="33"/>
    </row>
    <row r="140" spans="1:4" ht="20.25" x14ac:dyDescent="0.25">
      <c r="A140" s="103"/>
      <c r="B140" s="23"/>
      <c r="C140" s="33"/>
      <c r="D140" s="33"/>
    </row>
    <row r="141" spans="1:4" ht="20.25" x14ac:dyDescent="0.25">
      <c r="A141" s="103"/>
      <c r="B141" s="23"/>
      <c r="C141" s="33"/>
      <c r="D141" s="33"/>
    </row>
    <row r="142" spans="1:4" ht="20.25" x14ac:dyDescent="0.25">
      <c r="A142" s="103"/>
      <c r="B142" s="23"/>
      <c r="C142" s="33"/>
      <c r="D142" s="33"/>
    </row>
    <row r="143" spans="1:4" ht="20.25" x14ac:dyDescent="0.25">
      <c r="A143" s="103"/>
      <c r="B143" s="23"/>
      <c r="C143" s="33"/>
      <c r="D143" s="33"/>
    </row>
    <row r="144" spans="1:4" ht="20.25" x14ac:dyDescent="0.25">
      <c r="A144" s="103"/>
      <c r="B144" s="23"/>
      <c r="C144" s="33"/>
      <c r="D144" s="33"/>
    </row>
    <row r="145" spans="1:4" ht="20.25" x14ac:dyDescent="0.25">
      <c r="A145" s="103"/>
      <c r="B145" s="23"/>
      <c r="C145" s="33"/>
      <c r="D145" s="33"/>
    </row>
    <row r="146" spans="1:4" ht="20.25" x14ac:dyDescent="0.25">
      <c r="A146" s="103"/>
      <c r="B146" s="23"/>
      <c r="C146" s="33"/>
      <c r="D146" s="33"/>
    </row>
    <row r="147" spans="1:4" ht="20.25" x14ac:dyDescent="0.25">
      <c r="A147" s="103"/>
      <c r="B147" s="23"/>
      <c r="C147" s="33"/>
      <c r="D147" s="33"/>
    </row>
    <row r="148" spans="1:4" ht="20.25" x14ac:dyDescent="0.25">
      <c r="A148" s="103"/>
      <c r="B148" s="23"/>
      <c r="C148" s="33"/>
      <c r="D148" s="33"/>
    </row>
    <row r="149" spans="1:4" ht="20.25" x14ac:dyDescent="0.25">
      <c r="A149" s="103"/>
      <c r="B149" s="23"/>
      <c r="C149" s="33"/>
      <c r="D149" s="33"/>
    </row>
    <row r="150" spans="1:4" ht="20.25" x14ac:dyDescent="0.25">
      <c r="A150" s="103"/>
      <c r="B150" s="23"/>
      <c r="C150" s="33"/>
      <c r="D150" s="33"/>
    </row>
    <row r="151" spans="1:4" ht="20.25" x14ac:dyDescent="0.25">
      <c r="A151" s="103"/>
      <c r="B151" s="23"/>
      <c r="C151" s="33"/>
      <c r="D151" s="33"/>
    </row>
    <row r="152" spans="1:4" ht="20.25" x14ac:dyDescent="0.25">
      <c r="A152" s="103"/>
      <c r="B152" s="23"/>
      <c r="C152" s="33"/>
      <c r="D152" s="33"/>
    </row>
    <row r="153" spans="1:4" ht="20.25" x14ac:dyDescent="0.25">
      <c r="A153" s="103"/>
      <c r="B153" s="23"/>
      <c r="C153" s="33"/>
      <c r="D153" s="33"/>
    </row>
    <row r="154" spans="1:4" ht="20.25" x14ac:dyDescent="0.25">
      <c r="A154" s="103"/>
      <c r="B154" s="23"/>
      <c r="C154" s="33"/>
      <c r="D154" s="33"/>
    </row>
    <row r="155" spans="1:4" ht="20.25" x14ac:dyDescent="0.25">
      <c r="A155" s="103"/>
      <c r="B155" s="23"/>
      <c r="C155" s="33"/>
      <c r="D155" s="33"/>
    </row>
    <row r="156" spans="1:4" ht="20.25" x14ac:dyDescent="0.25">
      <c r="A156" s="103"/>
      <c r="B156" s="23"/>
      <c r="C156" s="33"/>
      <c r="D156" s="33"/>
    </row>
    <row r="157" spans="1:4" ht="20.25" x14ac:dyDescent="0.25">
      <c r="A157" s="103"/>
      <c r="B157" s="23"/>
      <c r="C157" s="33"/>
      <c r="D157" s="33"/>
    </row>
    <row r="158" spans="1:4" ht="20.25" x14ac:dyDescent="0.25">
      <c r="A158" s="103"/>
      <c r="B158" s="23"/>
      <c r="C158" s="33"/>
      <c r="D158" s="33"/>
    </row>
    <row r="159" spans="1:4" ht="20.25" x14ac:dyDescent="0.25">
      <c r="A159" s="103"/>
      <c r="B159" s="23"/>
      <c r="C159" s="33"/>
      <c r="D159" s="33"/>
    </row>
    <row r="160" spans="1:4" ht="20.25" x14ac:dyDescent="0.25">
      <c r="A160" s="103"/>
      <c r="B160" s="23"/>
      <c r="C160" s="33"/>
      <c r="D160" s="33"/>
    </row>
    <row r="161" spans="1:4" ht="20.25" x14ac:dyDescent="0.25">
      <c r="A161" s="103"/>
      <c r="B161" s="23"/>
      <c r="C161" s="33"/>
      <c r="D161" s="33"/>
    </row>
    <row r="162" spans="1:4" ht="20.25" x14ac:dyDescent="0.25">
      <c r="A162" s="103"/>
      <c r="B162" s="23"/>
      <c r="C162" s="33"/>
      <c r="D162" s="33"/>
    </row>
    <row r="163" spans="1:4" ht="20.25" x14ac:dyDescent="0.25">
      <c r="A163" s="103"/>
      <c r="B163" s="23"/>
      <c r="C163" s="33"/>
      <c r="D163" s="33"/>
    </row>
    <row r="164" spans="1:4" ht="20.25" x14ac:dyDescent="0.25">
      <c r="A164" s="103"/>
      <c r="B164" s="23"/>
      <c r="C164" s="33"/>
      <c r="D164" s="33"/>
    </row>
    <row r="165" spans="1:4" ht="20.25" x14ac:dyDescent="0.25">
      <c r="A165" s="103"/>
      <c r="B165" s="23"/>
      <c r="C165" s="33"/>
      <c r="D165" s="33"/>
    </row>
    <row r="166" spans="1:4" ht="20.25" x14ac:dyDescent="0.25">
      <c r="A166" s="103"/>
      <c r="B166" s="23"/>
      <c r="C166" s="33"/>
      <c r="D166" s="33"/>
    </row>
    <row r="167" spans="1:4" ht="20.25" x14ac:dyDescent="0.25">
      <c r="A167" s="103"/>
      <c r="B167" s="23"/>
      <c r="C167" s="33"/>
      <c r="D167" s="33"/>
    </row>
    <row r="168" spans="1:4" ht="20.25" x14ac:dyDescent="0.25">
      <c r="A168" s="103"/>
      <c r="B168" s="23"/>
      <c r="C168" s="33"/>
      <c r="D168" s="33"/>
    </row>
    <row r="169" spans="1:4" ht="20.25" x14ac:dyDescent="0.25">
      <c r="A169" s="103"/>
      <c r="B169" s="23"/>
      <c r="C169" s="33"/>
      <c r="D169" s="33"/>
    </row>
    <row r="170" spans="1:4" ht="20.25" x14ac:dyDescent="0.25">
      <c r="A170" s="103"/>
      <c r="B170" s="23"/>
      <c r="C170" s="33"/>
      <c r="D170" s="33"/>
    </row>
    <row r="171" spans="1:4" ht="20.25" x14ac:dyDescent="0.25">
      <c r="A171" s="103"/>
      <c r="B171" s="23"/>
      <c r="C171" s="33"/>
      <c r="D171" s="33"/>
    </row>
    <row r="172" spans="1:4" ht="20.25" x14ac:dyDescent="0.25">
      <c r="A172" s="103"/>
      <c r="B172" s="23"/>
      <c r="C172" s="33"/>
      <c r="D172" s="33"/>
    </row>
    <row r="173" spans="1:4" ht="20.25" x14ac:dyDescent="0.25">
      <c r="A173" s="103"/>
      <c r="B173" s="23"/>
      <c r="C173" s="33"/>
      <c r="D173" s="33"/>
    </row>
    <row r="174" spans="1:4" ht="20.25" x14ac:dyDescent="0.25">
      <c r="A174" s="103"/>
      <c r="B174" s="23"/>
      <c r="C174" s="33"/>
      <c r="D174" s="33"/>
    </row>
    <row r="175" spans="1:4" ht="20.25" x14ac:dyDescent="0.25">
      <c r="A175" s="103"/>
      <c r="B175" s="23"/>
      <c r="C175" s="33"/>
      <c r="D175" s="33"/>
    </row>
    <row r="176" spans="1:4" ht="20.25" x14ac:dyDescent="0.25">
      <c r="A176" s="103"/>
      <c r="B176" s="23"/>
      <c r="C176" s="33"/>
      <c r="D176" s="33"/>
    </row>
    <row r="177" spans="1:4" ht="20.25" x14ac:dyDescent="0.25">
      <c r="A177" s="103"/>
      <c r="B177" s="23"/>
      <c r="C177" s="33"/>
      <c r="D177" s="33"/>
    </row>
    <row r="178" spans="1:4" ht="20.25" x14ac:dyDescent="0.25">
      <c r="A178" s="103"/>
      <c r="B178" s="23"/>
      <c r="C178" s="33"/>
      <c r="D178" s="33"/>
    </row>
    <row r="179" spans="1:4" ht="20.25" x14ac:dyDescent="0.25">
      <c r="A179" s="103"/>
      <c r="B179" s="23"/>
      <c r="C179" s="33"/>
      <c r="D179" s="33"/>
    </row>
    <row r="180" spans="1:4" ht="20.25" x14ac:dyDescent="0.25">
      <c r="A180" s="103"/>
      <c r="B180" s="23"/>
      <c r="C180" s="33"/>
      <c r="D180" s="33"/>
    </row>
    <row r="181" spans="1:4" ht="20.25" x14ac:dyDescent="0.25">
      <c r="A181" s="103"/>
      <c r="B181" s="23"/>
      <c r="C181" s="33"/>
      <c r="D181" s="33"/>
    </row>
    <row r="182" spans="1:4" ht="20.25" x14ac:dyDescent="0.25">
      <c r="A182" s="103"/>
      <c r="B182" s="23"/>
      <c r="C182" s="33"/>
      <c r="D182" s="33"/>
    </row>
    <row r="183" spans="1:4" ht="20.25" x14ac:dyDescent="0.25">
      <c r="A183" s="103"/>
      <c r="B183" s="23"/>
      <c r="C183" s="33"/>
      <c r="D183" s="33"/>
    </row>
    <row r="184" spans="1:4" ht="20.25" x14ac:dyDescent="0.25">
      <c r="A184" s="103"/>
      <c r="B184" s="23"/>
      <c r="C184" s="33"/>
      <c r="D184" s="33"/>
    </row>
    <row r="185" spans="1:4" ht="20.25" x14ac:dyDescent="0.25">
      <c r="A185" s="103"/>
      <c r="B185" s="23"/>
      <c r="C185" s="33"/>
      <c r="D185" s="33"/>
    </row>
    <row r="186" spans="1:4" ht="20.25" x14ac:dyDescent="0.25">
      <c r="A186" s="103"/>
      <c r="B186" s="23"/>
      <c r="C186" s="33"/>
      <c r="D186" s="33"/>
    </row>
    <row r="187" spans="1:4" ht="20.25" x14ac:dyDescent="0.25">
      <c r="A187" s="103"/>
      <c r="B187" s="23"/>
      <c r="C187" s="33"/>
      <c r="D187" s="33"/>
    </row>
    <row r="188" spans="1:4" ht="20.25" x14ac:dyDescent="0.25">
      <c r="A188" s="103"/>
      <c r="B188" s="23"/>
      <c r="C188" s="33"/>
      <c r="D188" s="33"/>
    </row>
    <row r="189" spans="1:4" ht="20.25" x14ac:dyDescent="0.25">
      <c r="A189" s="103"/>
      <c r="B189" s="23"/>
      <c r="C189" s="33"/>
      <c r="D189" s="33"/>
    </row>
    <row r="190" spans="1:4" ht="20.25" x14ac:dyDescent="0.25">
      <c r="A190" s="103"/>
      <c r="B190" s="23"/>
      <c r="C190" s="33"/>
      <c r="D190" s="33"/>
    </row>
    <row r="191" spans="1:4" ht="20.25" x14ac:dyDescent="0.25">
      <c r="A191" s="103"/>
      <c r="B191" s="23"/>
      <c r="C191" s="33"/>
      <c r="D191" s="33"/>
    </row>
    <row r="192" spans="1:4" ht="20.25" x14ac:dyDescent="0.25">
      <c r="A192" s="103"/>
      <c r="B192" s="23"/>
      <c r="C192" s="33"/>
      <c r="D192" s="33"/>
    </row>
    <row r="193" spans="1:4" ht="20.25" x14ac:dyDescent="0.25">
      <c r="A193" s="103"/>
      <c r="B193" s="23"/>
      <c r="C193" s="33"/>
      <c r="D193" s="33"/>
    </row>
    <row r="194" spans="1:4" ht="20.25" x14ac:dyDescent="0.25">
      <c r="A194" s="103"/>
      <c r="B194" s="23"/>
      <c r="C194" s="33"/>
      <c r="D194" s="33"/>
    </row>
    <row r="195" spans="1:4" ht="20.25" x14ac:dyDescent="0.25">
      <c r="A195" s="103"/>
      <c r="B195" s="23"/>
      <c r="C195" s="33"/>
      <c r="D195" s="33"/>
    </row>
    <row r="196" spans="1:4" ht="20.25" x14ac:dyDescent="0.25">
      <c r="A196" s="103"/>
      <c r="B196" s="23"/>
      <c r="C196" s="33"/>
      <c r="D196" s="33"/>
    </row>
    <row r="197" spans="1:4" ht="20.25" x14ac:dyDescent="0.25">
      <c r="A197" s="103"/>
      <c r="B197" s="23"/>
      <c r="C197" s="33"/>
      <c r="D197" s="33"/>
    </row>
    <row r="198" spans="1:4" ht="20.25" x14ac:dyDescent="0.25">
      <c r="A198" s="103"/>
      <c r="B198" s="23"/>
      <c r="C198" s="33"/>
      <c r="D198" s="33"/>
    </row>
    <row r="199" spans="1:4" ht="20.25" x14ac:dyDescent="0.25">
      <c r="A199" s="103"/>
      <c r="B199" s="23"/>
      <c r="C199" s="33"/>
      <c r="D199" s="33"/>
    </row>
    <row r="200" spans="1:4" ht="20.25" x14ac:dyDescent="0.25">
      <c r="A200" s="103"/>
      <c r="B200" s="23"/>
      <c r="C200" s="33"/>
      <c r="D200" s="33"/>
    </row>
    <row r="201" spans="1:4" ht="20.25" x14ac:dyDescent="0.25">
      <c r="A201" s="103"/>
      <c r="B201" s="23"/>
      <c r="C201" s="33"/>
      <c r="D201" s="33"/>
    </row>
    <row r="202" spans="1:4" ht="20.25" x14ac:dyDescent="0.25">
      <c r="A202" s="103"/>
      <c r="B202" s="23"/>
      <c r="C202" s="33"/>
      <c r="D202" s="33"/>
    </row>
    <row r="203" spans="1:4" ht="20.25" x14ac:dyDescent="0.25">
      <c r="A203" s="103"/>
      <c r="B203" s="23"/>
      <c r="C203" s="33"/>
      <c r="D203" s="33"/>
    </row>
    <row r="204" spans="1:4" ht="20.25" x14ac:dyDescent="0.25">
      <c r="A204" s="103"/>
      <c r="B204" s="23"/>
      <c r="C204" s="33"/>
      <c r="D204" s="33"/>
    </row>
    <row r="205" spans="1:4" ht="20.25" x14ac:dyDescent="0.25">
      <c r="A205" s="103"/>
      <c r="B205" s="23"/>
      <c r="C205" s="33"/>
      <c r="D205" s="33"/>
    </row>
    <row r="206" spans="1:4" ht="20.25" x14ac:dyDescent="0.25">
      <c r="A206" s="103"/>
      <c r="B206" s="23"/>
      <c r="C206" s="33"/>
      <c r="D206" s="33"/>
    </row>
    <row r="207" spans="1:4" ht="20.25" x14ac:dyDescent="0.25">
      <c r="A207" s="103"/>
      <c r="B207" s="23"/>
      <c r="C207" s="33"/>
      <c r="D207" s="33"/>
    </row>
    <row r="208" spans="1:4" x14ac:dyDescent="0.25">
      <c r="A208" s="83"/>
      <c r="B208" s="23"/>
      <c r="C208" s="23"/>
      <c r="D208" s="23"/>
    </row>
    <row r="209" spans="1:8" ht="20.25" x14ac:dyDescent="0.25">
      <c r="A209" s="83"/>
      <c r="B209" s="29" t="s">
        <v>88</v>
      </c>
      <c r="C209" s="29" t="s">
        <v>143</v>
      </c>
      <c r="D209" s="32" t="s">
        <v>88</v>
      </c>
      <c r="E209" s="32" t="s">
        <v>143</v>
      </c>
    </row>
    <row r="210" spans="1:8" ht="21" x14ac:dyDescent="0.35">
      <c r="A210" s="83"/>
      <c r="B210" s="30" t="s">
        <v>90</v>
      </c>
      <c r="C210" s="30"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3"/>
      <c r="B211" s="30" t="s">
        <v>90</v>
      </c>
      <c r="C211" s="30" t="s">
        <v>93</v>
      </c>
      <c r="E211" t="s">
        <v>58</v>
      </c>
      <c r="F211" t="str">
        <f t="shared" ref="F211:F221" si="0">IF(NOT(ISBLANK(D211)),D211,IF(NOT(ISBLANK(E211)),"     "&amp;E211,FALSE))</f>
        <v xml:space="preserve">     Afectación menor a 10 SMLMV .</v>
      </c>
    </row>
    <row r="212" spans="1:8" ht="21" x14ac:dyDescent="0.35">
      <c r="A212" s="83"/>
      <c r="B212" s="30" t="s">
        <v>90</v>
      </c>
      <c r="C212" s="30" t="s">
        <v>94</v>
      </c>
      <c r="E212" t="s">
        <v>93</v>
      </c>
      <c r="F212" t="str">
        <f t="shared" si="0"/>
        <v xml:space="preserve">     Entre 10 y 50 SMLMV </v>
      </c>
    </row>
    <row r="213" spans="1:8" ht="21" x14ac:dyDescent="0.35">
      <c r="A213" s="83"/>
      <c r="B213" s="30" t="s">
        <v>90</v>
      </c>
      <c r="C213" s="30" t="s">
        <v>95</v>
      </c>
      <c r="E213" t="s">
        <v>94</v>
      </c>
      <c r="F213" t="str">
        <f t="shared" si="0"/>
        <v xml:space="preserve">     Entre 50 y 100 SMLMV </v>
      </c>
    </row>
    <row r="214" spans="1:8" ht="21" x14ac:dyDescent="0.35">
      <c r="A214" s="83"/>
      <c r="B214" s="30" t="s">
        <v>90</v>
      </c>
      <c r="C214" s="30" t="s">
        <v>96</v>
      </c>
      <c r="E214" t="s">
        <v>95</v>
      </c>
      <c r="F214" t="str">
        <f t="shared" si="0"/>
        <v xml:space="preserve">     Entre 100 y 500 SMLMV </v>
      </c>
    </row>
    <row r="215" spans="1:8" ht="21" x14ac:dyDescent="0.35">
      <c r="A215" s="83"/>
      <c r="B215" s="30" t="s">
        <v>57</v>
      </c>
      <c r="C215" s="30" t="s">
        <v>97</v>
      </c>
      <c r="E215" t="s">
        <v>96</v>
      </c>
      <c r="F215" t="str">
        <f t="shared" si="0"/>
        <v xml:space="preserve">     Mayor a 500 SMLMV </v>
      </c>
    </row>
    <row r="216" spans="1:8" ht="21" x14ac:dyDescent="0.35">
      <c r="A216" s="83"/>
      <c r="B216" s="30" t="s">
        <v>57</v>
      </c>
      <c r="C216" s="30" t="s">
        <v>98</v>
      </c>
      <c r="D216" t="s">
        <v>57</v>
      </c>
      <c r="F216" t="str">
        <f t="shared" si="0"/>
        <v>Pérdida Reputacional</v>
      </c>
    </row>
    <row r="217" spans="1:8" ht="21" x14ac:dyDescent="0.35">
      <c r="A217" s="83"/>
      <c r="B217" s="30" t="s">
        <v>57</v>
      </c>
      <c r="C217" s="30" t="s">
        <v>100</v>
      </c>
      <c r="E217" t="s">
        <v>97</v>
      </c>
      <c r="F217" t="str">
        <f t="shared" si="0"/>
        <v xml:space="preserve">     El riesgo afecta la imagen de alguna área de la organización</v>
      </c>
    </row>
    <row r="218" spans="1:8" ht="21" x14ac:dyDescent="0.35">
      <c r="A218" s="83"/>
      <c r="B218" s="30" t="s">
        <v>57</v>
      </c>
      <c r="C218" s="30"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0" t="s">
        <v>57</v>
      </c>
      <c r="C219" s="30" t="s">
        <v>118</v>
      </c>
      <c r="E219" t="s">
        <v>100</v>
      </c>
      <c r="F219" t="str">
        <f t="shared" si="0"/>
        <v xml:space="preserve">     El riesgo afecta la imagen de la entidad con algunos usuarios de relevancia frente al logro de los objetivos</v>
      </c>
    </row>
    <row r="220" spans="1:8" x14ac:dyDescent="0.25">
      <c r="A220" s="83"/>
      <c r="B220" s="31"/>
      <c r="C220" s="31"/>
      <c r="E220" t="s">
        <v>99</v>
      </c>
      <c r="F220" t="str">
        <f t="shared" si="0"/>
        <v xml:space="preserve">     El riesgo afecta la imagen de de la entidad con efecto publicitario sostenido a nivel de sector administrativo, nivel departamental o municipal</v>
      </c>
    </row>
    <row r="221" spans="1:8" x14ac:dyDescent="0.25">
      <c r="A221" s="83"/>
      <c r="B221" s="31" t="e" cm="1">
        <f t="array" aca="1" ref="B221:B223" ca="1">_xlfn.UNIQUE(Tabla1[[#All],[Criterios]])</f>
        <v>#NAME?</v>
      </c>
      <c r="C221" s="31"/>
      <c r="E221" t="s">
        <v>118</v>
      </c>
      <c r="F221" t="str">
        <f t="shared" si="0"/>
        <v xml:space="preserve">     El riesgo afecta la imagen de la entidad a nivel nacional, con efecto publicitarios sostenible a nivel país</v>
      </c>
    </row>
    <row r="222" spans="1:8" x14ac:dyDescent="0.25">
      <c r="A222" s="83"/>
      <c r="B222" s="31" t="e">
        <f ca="1"/>
        <v>#NAME?</v>
      </c>
      <c r="C222" s="31"/>
    </row>
    <row r="223" spans="1:8" x14ac:dyDescent="0.25">
      <c r="B223" s="31" t="e">
        <f ca="1"/>
        <v>#NAME?</v>
      </c>
      <c r="C223" s="31"/>
      <c r="F223" s="34" t="s">
        <v>145</v>
      </c>
    </row>
    <row r="224" spans="1:8" x14ac:dyDescent="0.25">
      <c r="B224" s="22"/>
      <c r="C224" s="22"/>
      <c r="F224" s="34" t="s">
        <v>146</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13" workbookViewId="0"/>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520" t="s">
        <v>78</v>
      </c>
      <c r="C1" s="521"/>
      <c r="D1" s="521"/>
      <c r="E1" s="521"/>
      <c r="F1" s="522"/>
    </row>
    <row r="2" spans="2:6" ht="16.5" thickBot="1" x14ac:dyDescent="0.3">
      <c r="B2" s="89"/>
      <c r="C2" s="89"/>
      <c r="D2" s="89"/>
      <c r="E2" s="89"/>
      <c r="F2" s="89"/>
    </row>
    <row r="3" spans="2:6" ht="16.5" thickBot="1" x14ac:dyDescent="0.25">
      <c r="B3" s="524" t="s">
        <v>64</v>
      </c>
      <c r="C3" s="525"/>
      <c r="D3" s="525"/>
      <c r="E3" s="101" t="s">
        <v>65</v>
      </c>
      <c r="F3" s="102" t="s">
        <v>66</v>
      </c>
    </row>
    <row r="4" spans="2:6" ht="31.5" x14ac:dyDescent="0.2">
      <c r="B4" s="526" t="s">
        <v>67</v>
      </c>
      <c r="C4" s="528" t="s">
        <v>13</v>
      </c>
      <c r="D4" s="90" t="s">
        <v>14</v>
      </c>
      <c r="E4" s="91" t="s">
        <v>68</v>
      </c>
      <c r="F4" s="92">
        <v>0.25</v>
      </c>
    </row>
    <row r="5" spans="2:6" ht="47.25" x14ac:dyDescent="0.2">
      <c r="B5" s="527"/>
      <c r="C5" s="529"/>
      <c r="D5" s="93" t="s">
        <v>15</v>
      </c>
      <c r="E5" s="94" t="s">
        <v>69</v>
      </c>
      <c r="F5" s="95">
        <v>0.15</v>
      </c>
    </row>
    <row r="6" spans="2:6" ht="47.25" x14ac:dyDescent="0.2">
      <c r="B6" s="527"/>
      <c r="C6" s="529"/>
      <c r="D6" s="93" t="s">
        <v>16</v>
      </c>
      <c r="E6" s="94" t="s">
        <v>70</v>
      </c>
      <c r="F6" s="95">
        <v>0.1</v>
      </c>
    </row>
    <row r="7" spans="2:6" ht="63" x14ac:dyDescent="0.2">
      <c r="B7" s="527"/>
      <c r="C7" s="529" t="s">
        <v>17</v>
      </c>
      <c r="D7" s="93" t="s">
        <v>10</v>
      </c>
      <c r="E7" s="94" t="s">
        <v>71</v>
      </c>
      <c r="F7" s="95">
        <v>0.25</v>
      </c>
    </row>
    <row r="8" spans="2:6" ht="31.5" x14ac:dyDescent="0.2">
      <c r="B8" s="527"/>
      <c r="C8" s="529"/>
      <c r="D8" s="93" t="s">
        <v>9</v>
      </c>
      <c r="E8" s="94" t="s">
        <v>72</v>
      </c>
      <c r="F8" s="95">
        <v>0.15</v>
      </c>
    </row>
    <row r="9" spans="2:6" ht="47.25" x14ac:dyDescent="0.2">
      <c r="B9" s="527" t="s">
        <v>160</v>
      </c>
      <c r="C9" s="529" t="s">
        <v>18</v>
      </c>
      <c r="D9" s="93" t="s">
        <v>19</v>
      </c>
      <c r="E9" s="94" t="s">
        <v>73</v>
      </c>
      <c r="F9" s="96" t="s">
        <v>74</v>
      </c>
    </row>
    <row r="10" spans="2:6" ht="63" x14ac:dyDescent="0.2">
      <c r="B10" s="527"/>
      <c r="C10" s="529"/>
      <c r="D10" s="93" t="s">
        <v>20</v>
      </c>
      <c r="E10" s="94" t="s">
        <v>75</v>
      </c>
      <c r="F10" s="96" t="s">
        <v>74</v>
      </c>
    </row>
    <row r="11" spans="2:6" ht="47.25" x14ac:dyDescent="0.2">
      <c r="B11" s="527"/>
      <c r="C11" s="529" t="s">
        <v>21</v>
      </c>
      <c r="D11" s="93" t="s">
        <v>22</v>
      </c>
      <c r="E11" s="94" t="s">
        <v>76</v>
      </c>
      <c r="F11" s="96" t="s">
        <v>74</v>
      </c>
    </row>
    <row r="12" spans="2:6" ht="47.25" x14ac:dyDescent="0.2">
      <c r="B12" s="527"/>
      <c r="C12" s="529"/>
      <c r="D12" s="93" t="s">
        <v>23</v>
      </c>
      <c r="E12" s="94" t="s">
        <v>77</v>
      </c>
      <c r="F12" s="96" t="s">
        <v>74</v>
      </c>
    </row>
    <row r="13" spans="2:6" ht="31.5" x14ac:dyDescent="0.2">
      <c r="B13" s="527"/>
      <c r="C13" s="529" t="s">
        <v>24</v>
      </c>
      <c r="D13" s="93" t="s">
        <v>119</v>
      </c>
      <c r="E13" s="94" t="s">
        <v>122</v>
      </c>
      <c r="F13" s="96" t="s">
        <v>74</v>
      </c>
    </row>
    <row r="14" spans="2:6" ht="32.25" thickBot="1" x14ac:dyDescent="0.25">
      <c r="B14" s="530"/>
      <c r="C14" s="531"/>
      <c r="D14" s="97" t="s">
        <v>120</v>
      </c>
      <c r="E14" s="98" t="s">
        <v>121</v>
      </c>
      <c r="F14" s="99" t="s">
        <v>74</v>
      </c>
    </row>
    <row r="15" spans="2:6" ht="49.5" customHeight="1" x14ac:dyDescent="0.2">
      <c r="B15" s="523" t="s">
        <v>157</v>
      </c>
      <c r="C15" s="523"/>
      <c r="D15" s="523"/>
      <c r="E15" s="523"/>
      <c r="F15" s="523"/>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Instituc Corrupc 2023</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Bianney Arias Quejada</cp:lastModifiedBy>
  <cp:lastPrinted>2023-01-13T14:06:17Z</cp:lastPrinted>
  <dcterms:created xsi:type="dcterms:W3CDTF">2020-03-24T23:12:47Z</dcterms:created>
  <dcterms:modified xsi:type="dcterms:W3CDTF">2023-01-31T20:16:13Z</dcterms:modified>
</cp:coreProperties>
</file>